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2C22CBF-DAD8-48DD-8E25-7F86E1773D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2" r:id="rId1"/>
  </sheets>
  <definedNames>
    <definedName name="_xlnm._FilterDatabase" localSheetId="0" hidden="1">'2026'!$A$6:$L$169</definedName>
    <definedName name="_xlnm.Print_Titles" localSheetId="0">'2026'!$12:$14</definedName>
    <definedName name="_xlnm.Print_Area" localSheetId="0">'2026'!$A$1:$L$171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1" i="12" l="1"/>
  <c r="J119" i="12"/>
  <c r="J114" i="12"/>
  <c r="J113" i="12"/>
  <c r="J112" i="12"/>
  <c r="J109" i="12" l="1"/>
  <c r="J94" i="12" l="1"/>
  <c r="K59" i="12"/>
  <c r="J57" i="12" l="1"/>
  <c r="J97" i="12"/>
  <c r="J148" i="12" l="1"/>
  <c r="J137" i="12"/>
  <c r="J134" i="12"/>
  <c r="L49" i="12"/>
  <c r="K49" i="12"/>
  <c r="J143" i="12" l="1"/>
  <c r="J46" i="12"/>
  <c r="J142" i="12"/>
  <c r="I145" i="12"/>
  <c r="I144" i="12"/>
  <c r="J144" i="12" l="1"/>
  <c r="J108" i="12" l="1"/>
  <c r="J147" i="12"/>
  <c r="L151" i="12" l="1"/>
  <c r="K151" i="12"/>
  <c r="I151" i="12"/>
  <c r="J132" i="12"/>
  <c r="J146" i="12"/>
  <c r="J138" i="12"/>
  <c r="J126" i="12"/>
  <c r="J76" i="12"/>
  <c r="J69" i="12"/>
  <c r="J67" i="12"/>
  <c r="J66" i="12"/>
  <c r="J64" i="12"/>
  <c r="J26" i="12" l="1"/>
  <c r="J51" i="12"/>
  <c r="J156" i="12"/>
  <c r="J88" i="12" l="1"/>
  <c r="I148" i="12" l="1"/>
  <c r="J149" i="12" l="1"/>
  <c r="L42" i="12"/>
  <c r="J155" i="12"/>
  <c r="J150" i="12"/>
  <c r="J139" i="12"/>
  <c r="J102" i="12"/>
  <c r="J101" i="12" s="1"/>
  <c r="J55" i="12"/>
  <c r="K42" i="12"/>
  <c r="J41" i="12"/>
  <c r="J39" i="12"/>
  <c r="J38" i="12"/>
  <c r="J30" i="12"/>
  <c r="J81" i="12"/>
  <c r="J141" i="12"/>
  <c r="J80" i="12" l="1"/>
  <c r="J78" i="12"/>
  <c r="J53" i="12"/>
  <c r="J37" i="12"/>
  <c r="J24" i="12" l="1"/>
  <c r="I153" i="12" l="1"/>
  <c r="J163" i="12" l="1"/>
  <c r="J90" i="12"/>
  <c r="K65" i="12"/>
  <c r="L65" i="12"/>
  <c r="I72" i="12"/>
  <c r="I89" i="12"/>
  <c r="J58" i="12"/>
  <c r="J44" i="12"/>
  <c r="I149" i="12"/>
  <c r="J29" i="12"/>
  <c r="J107" i="12"/>
  <c r="J106" i="12"/>
  <c r="J123" i="12"/>
  <c r="J133" i="12"/>
  <c r="J75" i="12"/>
  <c r="J130" i="12"/>
  <c r="J122" i="12"/>
  <c r="J86" i="12"/>
  <c r="I83" i="12"/>
  <c r="J85" i="12" l="1"/>
  <c r="J167" i="12" l="1"/>
  <c r="L47" i="12"/>
  <c r="K47" i="12"/>
  <c r="J25" i="12"/>
  <c r="J74" i="12"/>
  <c r="J128" i="12" l="1"/>
  <c r="J131" i="12" l="1"/>
  <c r="I75" i="12"/>
  <c r="J110" i="12" l="1"/>
  <c r="I167" i="12"/>
  <c r="J166" i="12"/>
  <c r="I166" i="12" s="1"/>
  <c r="I165" i="12" l="1"/>
  <c r="J164" i="12"/>
  <c r="I164" i="12" s="1"/>
  <c r="K17" i="12"/>
  <c r="L17" i="12"/>
  <c r="J17" i="12"/>
  <c r="I18" i="12"/>
  <c r="L82" i="12"/>
  <c r="L77" i="12" s="1"/>
  <c r="K82" i="12"/>
  <c r="K77" i="12" s="1"/>
  <c r="I46" i="12"/>
  <c r="I70" i="12"/>
  <c r="J65" i="12" l="1"/>
  <c r="I65" i="12" s="1"/>
  <c r="J28" i="12"/>
  <c r="L118" i="12"/>
  <c r="K118" i="12"/>
  <c r="J73" i="12" l="1"/>
  <c r="J33" i="12"/>
  <c r="I156" i="12"/>
  <c r="L152" i="12" l="1"/>
  <c r="I120" i="12" l="1"/>
  <c r="I163" i="12" l="1"/>
  <c r="J162" i="12"/>
  <c r="I162" i="12" s="1"/>
  <c r="J98" i="12"/>
  <c r="K152" i="12"/>
  <c r="L110" i="12"/>
  <c r="K110" i="12"/>
  <c r="I161" i="12" l="1"/>
  <c r="J160" i="12"/>
  <c r="I160" i="12" s="1"/>
  <c r="I105" i="12" l="1"/>
  <c r="I118" i="12"/>
  <c r="J104" i="12" l="1"/>
  <c r="K45" i="12" l="1"/>
  <c r="K96" i="12"/>
  <c r="I68" i="12" l="1"/>
  <c r="I71" i="12"/>
  <c r="K158" i="12"/>
  <c r="L158" i="12"/>
  <c r="J158" i="12"/>
  <c r="I159" i="12"/>
  <c r="I158" i="12" l="1"/>
  <c r="K142" i="12"/>
  <c r="I142" i="12" s="1"/>
  <c r="L142" i="12"/>
  <c r="I147" i="12" l="1"/>
  <c r="I146" i="12"/>
  <c r="I150" i="12"/>
  <c r="I152" i="12"/>
  <c r="I154" i="12"/>
  <c r="I155" i="12"/>
  <c r="I157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I79" i="12"/>
  <c r="I78" i="12"/>
  <c r="J77" i="12" l="1"/>
  <c r="J169" i="12" s="1"/>
  <c r="L23" i="12"/>
  <c r="L169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9" i="12" l="1"/>
  <c r="I77" i="12"/>
  <c r="I169" i="12" s="1"/>
</calcChain>
</file>

<file path=xl/sharedStrings.xml><?xml version="1.0" encoding="utf-8"?>
<sst xmlns="http://schemas.openxmlformats.org/spreadsheetml/2006/main" count="880" uniqueCount="357">
  <si>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</si>
  <si>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</si>
  <si>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</si>
  <si>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</si>
  <si>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</si>
  <si>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</si>
  <si>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</si>
  <si>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</si>
  <si>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</si>
  <si>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</si>
  <si>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</si>
  <si>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</si>
  <si>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</si>
  <si>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</si>
  <si>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</si>
  <si>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</si>
  <si>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</si>
  <si>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</si>
  <si>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</si>
  <si>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</si>
  <si>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</si>
  <si>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</si>
  <si>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</si>
  <si>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</si>
  <si>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</si>
  <si>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</si>
  <si>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</si>
  <si>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</si>
  <si>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</si>
  <si>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</si>
  <si>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</si>
  <si>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</si>
  <si>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</si>
  <si>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</si>
  <si>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</si>
  <si>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</si>
  <si>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</si>
  <si>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</si>
  <si>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</si>
  <si>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</si>
  <si>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</si>
  <si>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</si>
  <si>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</si>
  <si>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</si>
  <si>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</si>
  <si>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</si>
  <si>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</si>
  <si>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</si>
  <si>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</si>
  <si>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</si>
  <si>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</si>
  <si>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</si>
  <si>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</si>
  <si>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</si>
  <si>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</si>
  <si>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</si>
  <si>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</si>
  <si>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</si>
  <si>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</si>
  <si>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</si>
  <si>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</si>
  <si>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</si>
  <si>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</si>
  <si>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</si>
  <si>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</si>
  <si>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</si>
  <si>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</si>
  <si>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</si>
  <si>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</si>
  <si>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</si>
  <si>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</si>
  <si>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</si>
  <si>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</si>
  <si>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</si>
  <si>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</si>
  <si>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</si>
  <si>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</si>
  <si>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</si>
  <si>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</si>
  <si>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</si>
  <si>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</si>
  <si>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</si>
  <si>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</si>
  <si>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</si>
  <si>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</si>
  <si>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</si>
  <si>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</si>
  <si>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</si>
  <si>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</si>
  <si>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</si>
  <si>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</si>
  <si>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</si>
  <si>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</si>
  <si>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</si>
  <si>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</si>
  <si>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</si>
  <si>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</si>
  <si>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</si>
  <si>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</si>
  <si>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</si>
  <si>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</si>
  <si>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</si>
  <si>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</si>
  <si>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</si>
  <si>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</si>
  <si>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</si>
  <si>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</si>
  <si>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</si>
  <si>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</si>
  <si>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</si>
  <si>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</si>
  <si>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</si>
  <si>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</si>
  <si>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</si>
  <si>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</si>
  <si>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</si>
  <si>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</si>
  <si>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</si>
  <si>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</si>
  <si>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</si>
  <si>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</si>
  <si>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</si>
  <si>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</si>
  <si>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</si>
  <si>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</si>
  <si>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</si>
  <si>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</si>
  <si>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</si>
  <si>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</si>
  <si>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</si>
  <si>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</si>
  <si>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</si>
  <si>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</si>
  <si>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</si>
  <si>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</si>
  <si>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</si>
  <si>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</si>
  <si>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</si>
  <si>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</si>
  <si>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</si>
  <si>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</si>
  <si>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</si>
  <si>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</si>
  <si>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</si>
  <si>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</si>
  <si>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</si>
  <si>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</si>
  <si>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</si>
  <si>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</si>
  <si>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</si>
  <si>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</si>
  <si>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</si>
  <si>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</si>
  <si>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</si>
  <si>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</si>
  <si>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</si>
  <si>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</si>
  <si>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</si>
  <si>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</si>
  <si>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</si>
  <si>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</si>
  <si>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</si>
  <si>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</si>
  <si>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</si>
  <si>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</si>
  <si>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</si>
  <si>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</si>
  <si>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</si>
  <si>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</si>
  <si>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</si>
  <si>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</si>
  <si>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</si>
  <si>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</si>
  <si>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</si>
  <si>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</si>
  <si>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</si>
  <si>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</si>
  <si>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</si>
  <si>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</si>
  <si>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</si>
  <si>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</si>
  <si>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</si>
  <si>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</si>
  <si>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</si>
  <si>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</si>
  <si>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</si>
  <si>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</si>
  <si>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</si>
  <si>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</si>
  <si>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</si>
  <si>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</si>
  <si>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</si>
  <si>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</si>
  <si>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</si>
  <si>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</si>
  <si>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</si>
  <si>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</si>
  <si>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</si>
  <si>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</si>
  <si>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</si>
  <si>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</si>
  <si>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</si>
  <si>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</si>
  <si>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</si>
  <si>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</si>
  <si>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</si>
  <si>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</si>
  <si>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</si>
  <si>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</si>
  <si>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</si>
  <si>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</si>
  <si>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</si>
  <si>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</si>
  <si>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</si>
  <si>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</si>
  <si>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</si>
  <si>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</si>
  <si>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</si>
  <si>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</si>
  <si>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</si>
  <si>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</si>
  <si>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</si>
  <si>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</si>
  <si>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</si>
  <si>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</si>
  <si>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</si>
  <si>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</si>
  <si>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</si>
  <si>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</si>
  <si>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</si>
  <si>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</si>
  <si>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</si>
  <si>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</si>
  <si>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</si>
  <si>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</si>
  <si>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</si>
  <si>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</si>
  <si>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</si>
  <si>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</si>
  <si>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</si>
  <si>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</si>
  <si>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</si>
  <si>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</si>
  <si>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</si>
  <si>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</si>
  <si>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</si>
  <si>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</si>
  <si>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</si>
  <si>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</si>
  <si>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</si>
  <si>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</si>
  <si>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</si>
  <si>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</si>
  <si>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</si>
  <si>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</si>
  <si>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</si>
  <si>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</si>
  <si>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</si>
  <si>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</si>
  <si>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</si>
  <si>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</si>
  <si>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</si>
  <si>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</si>
  <si>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</si>
  <si>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</si>
  <si>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</si>
  <si>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</si>
  <si>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</si>
  <si>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</si>
  <si>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</si>
  <si>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</si>
  <si>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</si>
  <si>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</si>
  <si>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</si>
  <si>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</si>
  <si>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</si>
  <si>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</si>
  <si>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</si>
  <si>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</si>
  <si>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</si>
  <si>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</si>
  <si>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</si>
  <si>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</si>
  <si>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</si>
  <si>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</si>
  <si>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</si>
  <si>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</si>
  <si>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</si>
  <si>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</si>
  <si>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</si>
  <si>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</si>
  <si>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</si>
  <si>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</si>
  <si>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</si>
  <si>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</si>
  <si>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</si>
  <si>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</si>
  <si>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</si>
  <si>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</si>
  <si>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</si>
  <si>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</si>
  <si>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</si>
  <si>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</si>
  <si>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</si>
  <si>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</si>
  <si>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</si>
  <si>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</si>
  <si>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</si>
  <si>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</si>
  <si>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</si>
  <si>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</si>
  <si>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</si>
  <si>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</si>
  <si>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</si>
  <si>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</si>
  <si>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</si>
  <si>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</si>
  <si>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</si>
  <si>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</si>
  <si>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</si>
  <si>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</si>
  <si>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</si>
  <si>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</si>
  <si>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</si>
  <si>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</si>
  <si>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</si>
  <si>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</si>
  <si>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</si>
  <si>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</si>
  <si>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</si>
  <si>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</si>
  <si>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</si>
  <si>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</si>
  <si>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</si>
  <si>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</si>
  <si>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</si>
  <si>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</si>
  <si>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</si>
  <si>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</si>
  <si>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</si>
  <si>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</si>
  <si>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</si>
  <si>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</si>
  <si>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</si>
  <si>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</si>
  <si>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</si>
  <si>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</si>
  <si>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</si>
  <si>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</si>
  <si>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</si>
  <si>
    <t>від           10.2026 №          - VIII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</si>
  <si>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</si>
  <si>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</si>
  <si>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1216093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</si>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</sst>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showZeros="0" tabSelected="1" view="pageBreakPreview" zoomScale="72" zoomScaleNormal="80" zoomScaleSheetLayoutView="72" workbookViewId="0">
      <pane ySplit="13" topLeftCell="A167" activePane="bottomLeft" state="frozen"/>
      <selection pane="bottomLeft" activeCell="G173" sqref="G173:M176"/>
    </sheetView>
  </sheetViews>
  <sheetFormatPr defaultColWidth="9.109375" defaultRowHeight="14.4" x14ac:dyDescent="0.3"/>
  <cols>
    <col min="1" max="1" width="9.6640625" style="9" customWidth="1"/>
    <col min="2" max="2" width="10.5546875" style="28" hidden="1" customWidth="1"/>
    <col min="3" max="3" width="12.33203125" style="1" customWidth="1"/>
    <col min="4" max="4" width="12" style="9" customWidth="1"/>
    <col min="5" max="5" width="40.33203125" style="10" customWidth="1"/>
    <col min="6" max="6" width="38" style="10" customWidth="1"/>
    <col min="7" max="7" width="52.33203125" style="10" customWidth="1"/>
    <col min="8" max="8" width="16.6640625" style="1" customWidth="1"/>
    <col min="9" max="9" width="20.44140625" style="1" customWidth="1"/>
    <col min="10" max="10" width="19.33203125" style="1" customWidth="1"/>
    <col min="11" max="11" width="19.6640625" style="1" customWidth="1"/>
    <col min="12" max="12" width="20.109375" style="1" customWidth="1"/>
    <col min="13" max="13" width="17.88671875" style="2" customWidth="1"/>
    <col min="14" max="16384" width="9.109375" style="2"/>
  </cols>
  <sheetData>
    <row r="1" spans="1:12" ht="15.6" x14ac:dyDescent="0.3">
      <c r="J1" s="74" t="s">
        <v>329</v>
      </c>
      <c r="K1" s="74"/>
      <c r="L1" s="74"/>
    </row>
    <row r="2" spans="1:12" ht="15.6" x14ac:dyDescent="0.3">
      <c r="J2" s="74" t="s">
        <v>41</v>
      </c>
      <c r="K2" s="74"/>
      <c r="L2" s="74"/>
    </row>
    <row r="3" spans="1:12" ht="15.6" x14ac:dyDescent="0.3">
      <c r="J3" s="74" t="s">
        <v>42</v>
      </c>
      <c r="K3" s="74"/>
      <c r="L3" s="74"/>
    </row>
    <row r="4" spans="1:12" ht="15.6" x14ac:dyDescent="0.3">
      <c r="J4" s="75" t="s">
        <v>350</v>
      </c>
      <c r="K4" s="75"/>
      <c r="L4" s="75"/>
    </row>
    <row r="6" spans="1:12" ht="15.6" x14ac:dyDescent="0.3">
      <c r="J6" s="74" t="s">
        <v>316</v>
      </c>
      <c r="K6" s="74"/>
      <c r="L6" s="74"/>
    </row>
    <row r="7" spans="1:12" ht="15.6" x14ac:dyDescent="0.3">
      <c r="J7" s="74" t="s">
        <v>41</v>
      </c>
      <c r="K7" s="74"/>
      <c r="L7" s="74"/>
    </row>
    <row r="8" spans="1:12" ht="15.6" x14ac:dyDescent="0.3">
      <c r="J8" s="74" t="s">
        <v>42</v>
      </c>
      <c r="K8" s="74"/>
      <c r="L8" s="74"/>
    </row>
    <row r="9" spans="1:12" ht="15.6" x14ac:dyDescent="0.3">
      <c r="J9" s="75" t="s">
        <v>317</v>
      </c>
      <c r="K9" s="75"/>
      <c r="L9" s="75"/>
    </row>
    <row r="10" spans="1:12" ht="15.6" x14ac:dyDescent="0.3">
      <c r="A10" s="81" t="s">
        <v>137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x14ac:dyDescent="0.3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" customHeight="1" x14ac:dyDescent="0.3">
      <c r="A12" s="78" t="s">
        <v>31</v>
      </c>
      <c r="B12" s="30"/>
      <c r="C12" s="78" t="s">
        <v>32</v>
      </c>
      <c r="D12" s="78" t="s">
        <v>7</v>
      </c>
      <c r="E12" s="79" t="s">
        <v>153</v>
      </c>
      <c r="F12" s="79" t="s">
        <v>152</v>
      </c>
      <c r="G12" s="78" t="s">
        <v>33</v>
      </c>
      <c r="H12" s="78" t="s">
        <v>34</v>
      </c>
      <c r="I12" s="82" t="s">
        <v>0</v>
      </c>
      <c r="J12" s="82" t="s">
        <v>1</v>
      </c>
      <c r="K12" s="82" t="s">
        <v>2</v>
      </c>
      <c r="L12" s="82"/>
    </row>
    <row r="13" spans="1:12" ht="54" customHeight="1" x14ac:dyDescent="0.3">
      <c r="A13" s="78"/>
      <c r="B13" s="30"/>
      <c r="C13" s="78"/>
      <c r="D13" s="78"/>
      <c r="E13" s="80"/>
      <c r="F13" s="80"/>
      <c r="G13" s="78"/>
      <c r="H13" s="78"/>
      <c r="I13" s="82"/>
      <c r="J13" s="82"/>
      <c r="K13" s="38" t="s">
        <v>3</v>
      </c>
      <c r="L13" s="38" t="s">
        <v>4</v>
      </c>
    </row>
    <row r="14" spans="1:12" s="1" customFormat="1" x14ac:dyDescent="0.25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6.8" x14ac:dyDescent="0.3">
      <c r="A15" s="21">
        <v>1</v>
      </c>
      <c r="B15" s="64">
        <v>1</v>
      </c>
      <c r="C15" s="71" t="s">
        <v>16</v>
      </c>
      <c r="D15" s="72"/>
      <c r="E15" s="72"/>
      <c r="F15" s="72"/>
      <c r="G15" s="73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6.8" x14ac:dyDescent="0.3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6.8" x14ac:dyDescent="0.3">
      <c r="A17" s="21">
        <v>2</v>
      </c>
      <c r="B17" s="41">
        <v>20</v>
      </c>
      <c r="C17" s="76" t="s">
        <v>174</v>
      </c>
      <c r="D17" s="76"/>
      <c r="E17" s="76"/>
      <c r="F17" s="76"/>
      <c r="G17" s="76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3">
      <c r="A18" s="16" t="s">
        <v>336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3">
      <c r="A19" s="16" t="s">
        <v>337</v>
      </c>
      <c r="B19" s="66">
        <v>20</v>
      </c>
      <c r="C19" s="13">
        <v>7370</v>
      </c>
      <c r="D19" s="16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6.8" x14ac:dyDescent="0.3">
      <c r="A20" s="21">
        <v>3</v>
      </c>
      <c r="B20" s="41">
        <v>56</v>
      </c>
      <c r="C20" s="76" t="s">
        <v>98</v>
      </c>
      <c r="D20" s="76"/>
      <c r="E20" s="76"/>
      <c r="F20" s="76"/>
      <c r="G20" s="76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" x14ac:dyDescent="0.3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" x14ac:dyDescent="0.3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6.8" x14ac:dyDescent="0.3">
      <c r="A23" s="21">
        <v>4</v>
      </c>
      <c r="B23" s="41">
        <v>61</v>
      </c>
      <c r="C23" s="71" t="s">
        <v>117</v>
      </c>
      <c r="D23" s="72"/>
      <c r="E23" s="72"/>
      <c r="F23" s="72"/>
      <c r="G23" s="73"/>
      <c r="H23" s="21" t="s">
        <v>123</v>
      </c>
      <c r="I23" s="19">
        <f t="shared" ref="I23:I101" si="1">J23+K23</f>
        <v>5865209</v>
      </c>
      <c r="J23" s="19">
        <f>J24+J25+J26+J27+J28+J29+J30+J31+J32+J33</f>
        <v>5865209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6.8" x14ac:dyDescent="0.3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1520289</v>
      </c>
      <c r="J24" s="20">
        <f>1479900+182500+59800-201911</f>
        <v>1520289</v>
      </c>
      <c r="K24" s="20"/>
      <c r="L24" s="20"/>
    </row>
    <row r="25" spans="1:12" s="18" customFormat="1" ht="46.8" x14ac:dyDescent="0.3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6.8" x14ac:dyDescent="0.3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910700</v>
      </c>
      <c r="J26" s="20">
        <f>989300-78600</f>
        <v>910700</v>
      </c>
      <c r="K26" s="20"/>
      <c r="L26" s="20"/>
    </row>
    <row r="27" spans="1:12" s="18" customFormat="1" ht="46.8" x14ac:dyDescent="0.3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6.8" x14ac:dyDescent="0.3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6.8" x14ac:dyDescent="0.3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2.4" x14ac:dyDescent="0.3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37220</v>
      </c>
      <c r="J30" s="20">
        <f>551800-400000-65380-49200</f>
        <v>37220</v>
      </c>
      <c r="K30" s="20">
        <f>36000-36000</f>
        <v>0</v>
      </c>
      <c r="L30" s="20">
        <f>36000-36000</f>
        <v>0</v>
      </c>
    </row>
    <row r="31" spans="1:12" s="18" customFormat="1" ht="62.4" x14ac:dyDescent="0.3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3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6.8" x14ac:dyDescent="0.3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2" x14ac:dyDescent="0.3">
      <c r="A34" s="21">
        <v>5</v>
      </c>
      <c r="B34" s="41">
        <v>65</v>
      </c>
      <c r="C34" s="71" t="s">
        <v>115</v>
      </c>
      <c r="D34" s="72"/>
      <c r="E34" s="72"/>
      <c r="F34" s="72"/>
      <c r="G34" s="73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" x14ac:dyDescent="0.3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6.8" x14ac:dyDescent="0.3">
      <c r="A36" s="21">
        <v>6</v>
      </c>
      <c r="B36" s="41">
        <v>68</v>
      </c>
      <c r="C36" s="71" t="s">
        <v>116</v>
      </c>
      <c r="D36" s="72"/>
      <c r="E36" s="72"/>
      <c r="F36" s="72"/>
      <c r="G36" s="73"/>
      <c r="H36" s="21" t="s">
        <v>122</v>
      </c>
      <c r="I36" s="19">
        <f t="shared" ref="I36:I47" si="5">J36+K36</f>
        <v>198374093.98000002</v>
      </c>
      <c r="J36" s="19">
        <f>SUM(J37:J47)</f>
        <v>159790468.55000001</v>
      </c>
      <c r="K36" s="19">
        <f t="shared" ref="K36:L36" si="6">SUM(K37:K47)</f>
        <v>38583625.43</v>
      </c>
      <c r="L36" s="19">
        <f t="shared" si="6"/>
        <v>36328821.509999998</v>
      </c>
    </row>
    <row r="37" spans="1:12" s="18" customFormat="1" ht="46.8" x14ac:dyDescent="0.3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18503900</v>
      </c>
      <c r="J37" s="20">
        <f>16710200-101500-370000+45200+2000000+490000-270000</f>
        <v>18503900</v>
      </c>
      <c r="K37" s="20"/>
      <c r="L37" s="20"/>
    </row>
    <row r="38" spans="1:12" s="18" customFormat="1" ht="62.4" x14ac:dyDescent="0.3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0</v>
      </c>
      <c r="J38" s="20">
        <f>227819+175089+522000-522000-227819-175089</f>
        <v>0</v>
      </c>
      <c r="K38" s="20"/>
      <c r="L38" s="20"/>
    </row>
    <row r="39" spans="1:12" s="18" customFormat="1" ht="62.4" x14ac:dyDescent="0.3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4033841.04</v>
      </c>
      <c r="J39" s="20">
        <f>4161800+182000-309958.96</f>
        <v>4033841.04</v>
      </c>
      <c r="K39" s="20"/>
      <c r="L39" s="20"/>
    </row>
    <row r="40" spans="1:12" s="18" customFormat="1" ht="62.4" x14ac:dyDescent="0.3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2.4" x14ac:dyDescent="0.3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102102820.51000001</v>
      </c>
      <c r="J41" s="20">
        <f>95601000+600000+1500000+1000000+387732+329500+1765600+123500+839500-13610+1528474-1558875.49</f>
        <v>102102820.51000001</v>
      </c>
      <c r="K41" s="20"/>
      <c r="L41" s="20"/>
    </row>
    <row r="42" spans="1:12" s="18" customFormat="1" ht="99.75" customHeight="1" x14ac:dyDescent="0.3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4274511.51</v>
      </c>
      <c r="J42" s="20"/>
      <c r="K42" s="20">
        <f>5116500-839500+500000-502488.49</f>
        <v>4274511.51</v>
      </c>
      <c r="L42" s="20">
        <f>5116500-839500+500000-502488.49</f>
        <v>4274511.51</v>
      </c>
    </row>
    <row r="43" spans="1:12" s="18" customFormat="1" ht="62.4" x14ac:dyDescent="0.3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2.4" x14ac:dyDescent="0.3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3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3">
      <c r="A46" s="11" t="s">
        <v>333</v>
      </c>
      <c r="B46" s="22">
        <v>68</v>
      </c>
      <c r="C46" s="56" t="s">
        <v>334</v>
      </c>
      <c r="D46" s="16" t="s">
        <v>11</v>
      </c>
      <c r="E46" s="57" t="s">
        <v>335</v>
      </c>
      <c r="F46" s="45" t="s">
        <v>157</v>
      </c>
      <c r="G46" s="12" t="s">
        <v>116</v>
      </c>
      <c r="H46" s="13" t="s">
        <v>122</v>
      </c>
      <c r="I46" s="20">
        <f t="shared" si="5"/>
        <v>685000</v>
      </c>
      <c r="J46" s="20">
        <f>5280000-4595000</f>
        <v>685000</v>
      </c>
      <c r="K46" s="20"/>
      <c r="L46" s="20"/>
    </row>
    <row r="47" spans="1:12" s="18" customFormat="1" ht="108.75" customHeight="1" x14ac:dyDescent="0.3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2" x14ac:dyDescent="0.3">
      <c r="A48" s="21">
        <v>7</v>
      </c>
      <c r="B48" s="42">
        <v>73</v>
      </c>
      <c r="C48" s="71" t="s">
        <v>125</v>
      </c>
      <c r="D48" s="72"/>
      <c r="E48" s="72"/>
      <c r="F48" s="72"/>
      <c r="G48" s="73"/>
      <c r="H48" s="21" t="s">
        <v>126</v>
      </c>
      <c r="I48" s="19">
        <f t="shared" si="1"/>
        <v>424067</v>
      </c>
      <c r="J48" s="19">
        <f>J49</f>
        <v>80000</v>
      </c>
      <c r="K48" s="19">
        <f>K49</f>
        <v>344067</v>
      </c>
      <c r="L48" s="19">
        <f>L49</f>
        <v>344067</v>
      </c>
    </row>
    <row r="49" spans="1:12" s="18" customFormat="1" ht="62.4" x14ac:dyDescent="0.3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424067</v>
      </c>
      <c r="J49" s="20">
        <v>80000</v>
      </c>
      <c r="K49" s="20">
        <f>5900000-4555933-1000000</f>
        <v>344067</v>
      </c>
      <c r="L49" s="20">
        <f>5900000-4555933-1000000</f>
        <v>344067</v>
      </c>
    </row>
    <row r="50" spans="1:12" s="49" customFormat="1" ht="46.8" x14ac:dyDescent="0.3">
      <c r="A50" s="21">
        <v>8</v>
      </c>
      <c r="B50" s="42">
        <v>76</v>
      </c>
      <c r="C50" s="71" t="s">
        <v>131</v>
      </c>
      <c r="D50" s="72"/>
      <c r="E50" s="72"/>
      <c r="F50" s="72"/>
      <c r="G50" s="73"/>
      <c r="H50" s="21" t="s">
        <v>209</v>
      </c>
      <c r="I50" s="19">
        <f t="shared" si="1"/>
        <v>861000</v>
      </c>
      <c r="J50" s="19">
        <f>J51</f>
        <v>861000</v>
      </c>
      <c r="K50" s="19">
        <f>K51</f>
        <v>0</v>
      </c>
      <c r="L50" s="19">
        <f>L51</f>
        <v>0</v>
      </c>
    </row>
    <row r="51" spans="1:12" s="49" customFormat="1" ht="62.4" x14ac:dyDescent="0.3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861000</v>
      </c>
      <c r="J51" s="20">
        <f>1300000-103000-11000-325000</f>
        <v>861000</v>
      </c>
      <c r="K51" s="19"/>
      <c r="L51" s="19"/>
    </row>
    <row r="52" spans="1:12" s="49" customFormat="1" ht="36" customHeight="1" x14ac:dyDescent="0.3">
      <c r="A52" s="21">
        <v>9</v>
      </c>
      <c r="B52" s="41">
        <v>78</v>
      </c>
      <c r="C52" s="71" t="s">
        <v>138</v>
      </c>
      <c r="D52" s="72"/>
      <c r="E52" s="72"/>
      <c r="F52" s="72"/>
      <c r="G52" s="73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3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2902400</v>
      </c>
      <c r="J53" s="20">
        <f>2902400+556175-556175</f>
        <v>2902400</v>
      </c>
      <c r="K53" s="20"/>
      <c r="L53" s="20"/>
    </row>
    <row r="54" spans="1:12" s="49" customFormat="1" ht="36" customHeight="1" x14ac:dyDescent="0.3">
      <c r="A54" s="21">
        <v>10</v>
      </c>
      <c r="B54" s="41">
        <v>80</v>
      </c>
      <c r="C54" s="71" t="s">
        <v>139</v>
      </c>
      <c r="D54" s="72"/>
      <c r="E54" s="72"/>
      <c r="F54" s="72"/>
      <c r="G54" s="73"/>
      <c r="H54" s="21" t="s">
        <v>141</v>
      </c>
      <c r="I54" s="19">
        <f t="shared" si="1"/>
        <v>593342</v>
      </c>
      <c r="J54" s="19">
        <f>J55</f>
        <v>593342</v>
      </c>
      <c r="K54" s="19">
        <f>K55</f>
        <v>0</v>
      </c>
      <c r="L54" s="19">
        <f>L55</f>
        <v>0</v>
      </c>
    </row>
    <row r="55" spans="1:12" s="18" customFormat="1" ht="93.6" x14ac:dyDescent="0.3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593342</v>
      </c>
      <c r="J55" s="20">
        <f>300000+293342</f>
        <v>593342</v>
      </c>
      <c r="K55" s="20"/>
      <c r="L55" s="20"/>
    </row>
    <row r="56" spans="1:12" s="49" customFormat="1" ht="57.6" customHeight="1" x14ac:dyDescent="0.3">
      <c r="A56" s="21">
        <v>11</v>
      </c>
      <c r="B56" s="41">
        <v>81</v>
      </c>
      <c r="C56" s="77" t="s">
        <v>194</v>
      </c>
      <c r="D56" s="77"/>
      <c r="E56" s="77"/>
      <c r="F56" s="77"/>
      <c r="G56" s="77"/>
      <c r="H56" s="21" t="s">
        <v>196</v>
      </c>
      <c r="I56" s="19">
        <f t="shared" ref="I56" si="8">J56+K56</f>
        <v>4027307.54</v>
      </c>
      <c r="J56" s="19">
        <f>SUM(J57:J59)</f>
        <v>3624576.93</v>
      </c>
      <c r="K56" s="19">
        <f>SUM(K57:K59)</f>
        <v>402730.61</v>
      </c>
      <c r="L56" s="19">
        <f>L57</f>
        <v>0</v>
      </c>
    </row>
    <row r="57" spans="1:12" s="18" customFormat="1" ht="93.6" x14ac:dyDescent="0.3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3571556.93</v>
      </c>
      <c r="J57" s="20">
        <f>1027031+1958533-478917+497909.93+567000</f>
        <v>3571556.93</v>
      </c>
      <c r="K57" s="20"/>
      <c r="L57" s="20"/>
    </row>
    <row r="58" spans="1:12" s="18" customFormat="1" ht="93.6" x14ac:dyDescent="0.3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3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402730.61</v>
      </c>
      <c r="J59" s="20"/>
      <c r="K59" s="20">
        <f>114114.47+6700.92+217615-54022.91+55323.13+63000</f>
        <v>402730.61</v>
      </c>
      <c r="L59" s="20"/>
    </row>
    <row r="60" spans="1:12" s="49" customFormat="1" ht="57.6" customHeight="1" x14ac:dyDescent="0.3">
      <c r="A60" s="21">
        <v>12</v>
      </c>
      <c r="B60" s="41">
        <v>82</v>
      </c>
      <c r="C60" s="77" t="s">
        <v>142</v>
      </c>
      <c r="D60" s="77"/>
      <c r="E60" s="77"/>
      <c r="F60" s="77"/>
      <c r="G60" s="77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3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3">
      <c r="A62" s="21">
        <v>13</v>
      </c>
      <c r="B62" s="40">
        <v>98</v>
      </c>
      <c r="C62" s="71" t="s">
        <v>164</v>
      </c>
      <c r="D62" s="72"/>
      <c r="E62" s="72"/>
      <c r="F62" s="72"/>
      <c r="G62" s="73"/>
      <c r="H62" s="54" t="s">
        <v>197</v>
      </c>
      <c r="I62" s="19">
        <f>J62+K62</f>
        <v>1534400</v>
      </c>
      <c r="J62" s="19">
        <f>SUM(J63:J64)</f>
        <v>1534400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6.8" x14ac:dyDescent="0.3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6.8" x14ac:dyDescent="0.3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1218100</v>
      </c>
      <c r="J64" s="20">
        <f>1318100-100000</f>
        <v>1218100</v>
      </c>
      <c r="K64" s="20"/>
      <c r="L64" s="20"/>
    </row>
    <row r="65" spans="1:12" s="49" customFormat="1" ht="40.5" customHeight="1" x14ac:dyDescent="0.3">
      <c r="A65" s="21">
        <v>14</v>
      </c>
      <c r="B65" s="40">
        <v>99</v>
      </c>
      <c r="C65" s="71" t="s">
        <v>165</v>
      </c>
      <c r="D65" s="72"/>
      <c r="E65" s="72"/>
      <c r="F65" s="72"/>
      <c r="G65" s="73"/>
      <c r="H65" s="54" t="s">
        <v>173</v>
      </c>
      <c r="I65" s="19">
        <f>J65+K65</f>
        <v>19267545.859999999</v>
      </c>
      <c r="J65" s="19">
        <f>SUM(J66:J72)</f>
        <v>14926550</v>
      </c>
      <c r="K65" s="19">
        <f t="shared" ref="K65:L65" si="12">SUM(K66:K72)</f>
        <v>4340995.8600000003</v>
      </c>
      <c r="L65" s="19">
        <f t="shared" si="12"/>
        <v>0</v>
      </c>
    </row>
    <row r="66" spans="1:12" s="18" customFormat="1" ht="57" customHeight="1" x14ac:dyDescent="0.3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1132900</v>
      </c>
      <c r="J66" s="20">
        <f>1579400-64900-181600-200000</f>
        <v>1132900</v>
      </c>
      <c r="K66" s="20"/>
      <c r="L66" s="20"/>
    </row>
    <row r="67" spans="1:12" s="18" customFormat="1" ht="62.25" customHeight="1" x14ac:dyDescent="0.3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847338</v>
      </c>
      <c r="J67" s="20">
        <f>1104500-138762+81600-200000</f>
        <v>847338</v>
      </c>
      <c r="K67" s="20"/>
      <c r="L67" s="20"/>
    </row>
    <row r="68" spans="1:12" s="18" customFormat="1" ht="60.75" customHeight="1" x14ac:dyDescent="0.3">
      <c r="A68" s="13">
        <v>1115048</v>
      </c>
      <c r="B68" s="13">
        <v>99</v>
      </c>
      <c r="C68" s="18">
        <v>5048</v>
      </c>
      <c r="D68" s="16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3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4110462</v>
      </c>
      <c r="J69" s="20">
        <f>4296800-96338-90000</f>
        <v>4110462</v>
      </c>
      <c r="K69" s="20"/>
      <c r="L69" s="20"/>
    </row>
    <row r="70" spans="1:12" s="18" customFormat="1" ht="92.25" customHeight="1" x14ac:dyDescent="0.3">
      <c r="A70" s="11" t="s">
        <v>330</v>
      </c>
      <c r="B70" s="22"/>
      <c r="C70" s="11" t="s">
        <v>331</v>
      </c>
      <c r="D70" s="16" t="s">
        <v>25</v>
      </c>
      <c r="E70" s="57" t="s">
        <v>332</v>
      </c>
      <c r="F70" s="23" t="s">
        <v>86</v>
      </c>
      <c r="G70" s="12" t="s">
        <v>165</v>
      </c>
      <c r="H70" s="55" t="s">
        <v>173</v>
      </c>
      <c r="I70" s="20">
        <f t="shared" si="13"/>
        <v>300000</v>
      </c>
      <c r="J70" s="20">
        <v>300000</v>
      </c>
      <c r="K70" s="20"/>
      <c r="L70" s="20"/>
    </row>
    <row r="71" spans="1:12" s="18" customFormat="1" ht="164.25" customHeight="1" x14ac:dyDescent="0.3">
      <c r="A71" s="11" t="s">
        <v>301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18" customFormat="1" ht="46.8" x14ac:dyDescent="0.3">
      <c r="A72" s="11" t="s">
        <v>348</v>
      </c>
      <c r="B72" s="65"/>
      <c r="C72" s="11" t="s">
        <v>349</v>
      </c>
      <c r="D72" s="13" t="s">
        <v>80</v>
      </c>
      <c r="E72" s="57" t="s">
        <v>94</v>
      </c>
      <c r="F72" s="23" t="s">
        <v>93</v>
      </c>
      <c r="G72" s="12" t="s">
        <v>165</v>
      </c>
      <c r="H72" s="55" t="s">
        <v>173</v>
      </c>
      <c r="I72" s="20">
        <f t="shared" si="13"/>
        <v>100000</v>
      </c>
      <c r="J72" s="20">
        <v>100000</v>
      </c>
      <c r="K72" s="20"/>
      <c r="L72" s="20"/>
    </row>
    <row r="73" spans="1:12" s="49" customFormat="1" ht="41.4" customHeight="1" x14ac:dyDescent="0.3">
      <c r="A73" s="21">
        <v>15</v>
      </c>
      <c r="B73" s="40">
        <v>93</v>
      </c>
      <c r="C73" s="76" t="s">
        <v>163</v>
      </c>
      <c r="D73" s="76"/>
      <c r="E73" s="76"/>
      <c r="F73" s="76"/>
      <c r="G73" s="76"/>
      <c r="H73" s="54" t="s">
        <v>171</v>
      </c>
      <c r="I73" s="19">
        <f>J73+K73</f>
        <v>28861400</v>
      </c>
      <c r="J73" s="19">
        <f>SUM(J74:J76)</f>
        <v>28861400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3.6" x14ac:dyDescent="0.3">
      <c r="A74" s="11" t="s">
        <v>5</v>
      </c>
      <c r="B74" s="6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18" customFormat="1" ht="93.6" x14ac:dyDescent="0.3">
      <c r="A75" s="11" t="s">
        <v>284</v>
      </c>
      <c r="B75" s="68" t="s">
        <v>312</v>
      </c>
      <c r="C75" s="11" t="s">
        <v>285</v>
      </c>
      <c r="D75" s="11" t="s">
        <v>263</v>
      </c>
      <c r="E75" s="59" t="s">
        <v>286</v>
      </c>
      <c r="F75" s="23" t="s">
        <v>81</v>
      </c>
      <c r="G75" s="12" t="s">
        <v>163</v>
      </c>
      <c r="H75" s="55" t="s">
        <v>171</v>
      </c>
      <c r="I75" s="20">
        <f t="shared" ref="I75" si="15">SUM(J75:K75)</f>
        <v>10000</v>
      </c>
      <c r="J75" s="20">
        <f>153000-143000</f>
        <v>10000</v>
      </c>
      <c r="K75" s="20"/>
      <c r="L75" s="20"/>
    </row>
    <row r="76" spans="1:12" s="18" customFormat="1" ht="93.6" x14ac:dyDescent="0.3">
      <c r="A76" s="11" t="s">
        <v>198</v>
      </c>
      <c r="B76" s="6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27351400</v>
      </c>
      <c r="J76" s="20">
        <f>3153000+19713400-153000+2000000+700000+1938000</f>
        <v>27351400</v>
      </c>
      <c r="K76" s="20"/>
      <c r="L76" s="20"/>
    </row>
    <row r="77" spans="1:12" s="49" customFormat="1" ht="50.25" customHeight="1" x14ac:dyDescent="0.3">
      <c r="A77" s="21">
        <v>16</v>
      </c>
      <c r="B77" s="40">
        <v>83</v>
      </c>
      <c r="C77" s="71" t="s">
        <v>159</v>
      </c>
      <c r="D77" s="72"/>
      <c r="E77" s="72"/>
      <c r="F77" s="72"/>
      <c r="G77" s="73"/>
      <c r="H77" s="54" t="s">
        <v>208</v>
      </c>
      <c r="I77" s="19">
        <f t="shared" si="1"/>
        <v>75897059.950000003</v>
      </c>
      <c r="J77" s="19">
        <f>SUM(J78:J84)</f>
        <v>73564005.950000003</v>
      </c>
      <c r="K77" s="19">
        <f t="shared" ref="K77:L77" si="16">SUM(K78:K84)</f>
        <v>2333054</v>
      </c>
      <c r="L77" s="19">
        <f t="shared" si="16"/>
        <v>2333054</v>
      </c>
    </row>
    <row r="78" spans="1:12" s="18" customFormat="1" ht="60" customHeight="1" x14ac:dyDescent="0.3">
      <c r="A78" s="11" t="s">
        <v>45</v>
      </c>
      <c r="B78" s="6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47500949.950000003</v>
      </c>
      <c r="J78" s="20">
        <f>41453700+2000000+3020446+91718+825000+196918-22155-64677.05</f>
        <v>47500949.950000003</v>
      </c>
      <c r="K78" s="20"/>
      <c r="L78" s="20"/>
    </row>
    <row r="79" spans="1:12" s="18" customFormat="1" ht="66" customHeight="1" x14ac:dyDescent="0.3">
      <c r="A79" s="11" t="s">
        <v>49</v>
      </c>
      <c r="B79" s="6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3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4749400</v>
      </c>
      <c r="J80" s="20">
        <f>3792200+1040000-82800</f>
        <v>4749400</v>
      </c>
      <c r="K80" s="20"/>
      <c r="L80" s="20"/>
    </row>
    <row r="81" spans="1:13" s="18" customFormat="1" ht="46.8" x14ac:dyDescent="0.3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" x14ac:dyDescent="0.3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18" customFormat="1" ht="46.8" x14ac:dyDescent="0.3">
      <c r="A83" s="11" t="s">
        <v>114</v>
      </c>
      <c r="B83" s="32"/>
      <c r="C83" s="11" t="s">
        <v>37</v>
      </c>
      <c r="D83" s="11" t="s">
        <v>11</v>
      </c>
      <c r="E83" s="53" t="s">
        <v>345</v>
      </c>
      <c r="F83" s="45" t="s">
        <v>265</v>
      </c>
      <c r="G83" s="12" t="s">
        <v>160</v>
      </c>
      <c r="H83" s="55" t="s">
        <v>208</v>
      </c>
      <c r="I83" s="20">
        <f t="shared" si="17"/>
        <v>1252000</v>
      </c>
      <c r="J83" s="20">
        <v>1252000</v>
      </c>
      <c r="K83" s="20"/>
      <c r="L83" s="20"/>
    </row>
    <row r="84" spans="1:13" s="18" customFormat="1" ht="46.8" x14ac:dyDescent="0.3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6.8" x14ac:dyDescent="0.3">
      <c r="A85" s="21">
        <v>17</v>
      </c>
      <c r="B85" s="41">
        <v>90</v>
      </c>
      <c r="C85" s="71" t="s">
        <v>161</v>
      </c>
      <c r="D85" s="72"/>
      <c r="E85" s="72"/>
      <c r="F85" s="72"/>
      <c r="G85" s="73"/>
      <c r="H85" s="54" t="s">
        <v>210</v>
      </c>
      <c r="I85" s="19">
        <f t="shared" si="17"/>
        <v>62310385</v>
      </c>
      <c r="J85" s="19">
        <f>SUM(J86:J90)</f>
        <v>62310385</v>
      </c>
      <c r="K85" s="19">
        <f>K86+K88</f>
        <v>0</v>
      </c>
      <c r="L85" s="19">
        <f>L86+L88</f>
        <v>0</v>
      </c>
    </row>
    <row r="86" spans="1:13" s="18" customFormat="1" ht="78" x14ac:dyDescent="0.3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" x14ac:dyDescent="0.3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" x14ac:dyDescent="0.3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231000</v>
      </c>
      <c r="J88" s="20">
        <f>166000+65000</f>
        <v>231000</v>
      </c>
      <c r="K88" s="20"/>
      <c r="L88" s="20"/>
    </row>
    <row r="89" spans="1:13" s="18" customFormat="1" ht="78" x14ac:dyDescent="0.3">
      <c r="A89" s="11" t="s">
        <v>348</v>
      </c>
      <c r="B89" s="33"/>
      <c r="C89" s="11" t="s">
        <v>349</v>
      </c>
      <c r="D89" s="13" t="s">
        <v>80</v>
      </c>
      <c r="E89" s="57" t="s">
        <v>94</v>
      </c>
      <c r="F89" s="45" t="s">
        <v>93</v>
      </c>
      <c r="G89" s="12" t="s">
        <v>161</v>
      </c>
      <c r="H89" s="55" t="s">
        <v>210</v>
      </c>
      <c r="I89" s="20">
        <f t="shared" si="17"/>
        <v>5800000</v>
      </c>
      <c r="J89" s="20">
        <v>5800000</v>
      </c>
      <c r="K89" s="20"/>
      <c r="L89" s="20"/>
    </row>
    <row r="90" spans="1:13" s="18" customFormat="1" ht="78" x14ac:dyDescent="0.3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" customHeight="1" x14ac:dyDescent="0.3">
      <c r="A91" s="21">
        <v>18</v>
      </c>
      <c r="B91" s="40">
        <v>91</v>
      </c>
      <c r="C91" s="71" t="s">
        <v>162</v>
      </c>
      <c r="D91" s="72"/>
      <c r="E91" s="72"/>
      <c r="F91" s="72"/>
      <c r="G91" s="73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2.4" x14ac:dyDescent="0.3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" customHeight="1" x14ac:dyDescent="0.3">
      <c r="A93" s="21">
        <v>19</v>
      </c>
      <c r="B93" s="40">
        <v>89</v>
      </c>
      <c r="C93" s="71" t="s">
        <v>149</v>
      </c>
      <c r="D93" s="72"/>
      <c r="E93" s="72"/>
      <c r="F93" s="72"/>
      <c r="G93" s="73"/>
      <c r="H93" s="54" t="s">
        <v>168</v>
      </c>
      <c r="I93" s="19">
        <f t="shared" si="17"/>
        <v>7177300</v>
      </c>
      <c r="J93" s="19">
        <f>J94</f>
        <v>7177300</v>
      </c>
      <c r="K93" s="19">
        <f>K94</f>
        <v>0</v>
      </c>
      <c r="L93" s="19">
        <f>L94</f>
        <v>0</v>
      </c>
    </row>
    <row r="94" spans="1:13" s="18" customFormat="1" ht="74.25" customHeight="1" x14ac:dyDescent="0.3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7177300</v>
      </c>
      <c r="J94" s="20">
        <f>5000000+1000000-422700+600000+1000000</f>
        <v>7177300</v>
      </c>
      <c r="K94" s="20"/>
      <c r="L94" s="20"/>
    </row>
    <row r="95" spans="1:13" s="49" customFormat="1" ht="53.25" customHeight="1" x14ac:dyDescent="0.3">
      <c r="A95" s="21">
        <v>20</v>
      </c>
      <c r="B95" s="40">
        <v>85</v>
      </c>
      <c r="C95" s="76" t="s">
        <v>145</v>
      </c>
      <c r="D95" s="76"/>
      <c r="E95" s="76"/>
      <c r="F95" s="76"/>
      <c r="G95" s="76"/>
      <c r="H95" s="54" t="s">
        <v>166</v>
      </c>
      <c r="I95" s="19">
        <f t="shared" si="1"/>
        <v>131213110.92</v>
      </c>
      <c r="J95" s="19">
        <f>SUM(J96:J98)</f>
        <v>128225438.56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3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2.4" x14ac:dyDescent="0.3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104940167.56</v>
      </c>
      <c r="J97" s="20">
        <f>53600000+12000000+19266781+600000+468000+13610+7400000+5546776.56+4595000+1450000</f>
        <v>104940167.56</v>
      </c>
      <c r="K97" s="20"/>
      <c r="L97" s="20"/>
    </row>
    <row r="98" spans="1:12" s="49" customFormat="1" ht="62.4" x14ac:dyDescent="0.3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3">
      <c r="A99" s="21">
        <v>21</v>
      </c>
      <c r="B99" s="40">
        <v>92</v>
      </c>
      <c r="C99" s="71" t="s">
        <v>148</v>
      </c>
      <c r="D99" s="72"/>
      <c r="E99" s="72"/>
      <c r="F99" s="72"/>
      <c r="G99" s="73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2.4" x14ac:dyDescent="0.3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3">
      <c r="A101" s="21">
        <v>22</v>
      </c>
      <c r="B101" s="41">
        <v>86</v>
      </c>
      <c r="C101" s="71" t="s">
        <v>144</v>
      </c>
      <c r="D101" s="72"/>
      <c r="E101" s="72"/>
      <c r="F101" s="72"/>
      <c r="G101" s="73"/>
      <c r="H101" s="54" t="s">
        <v>167</v>
      </c>
      <c r="I101" s="19">
        <f t="shared" si="1"/>
        <v>3503000</v>
      </c>
      <c r="J101" s="19">
        <f>J102</f>
        <v>3503000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3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3503000</v>
      </c>
      <c r="J102" s="20">
        <f>2103000+400000+1000000</f>
        <v>3503000</v>
      </c>
      <c r="K102" s="20"/>
      <c r="L102" s="20"/>
    </row>
    <row r="103" spans="1:12" s="49" customFormat="1" ht="37.950000000000003" customHeight="1" x14ac:dyDescent="0.3">
      <c r="A103" s="21">
        <v>23</v>
      </c>
      <c r="B103" s="41">
        <v>84</v>
      </c>
      <c r="C103" s="71" t="s">
        <v>211</v>
      </c>
      <c r="D103" s="72"/>
      <c r="E103" s="72"/>
      <c r="F103" s="72"/>
      <c r="G103" s="73"/>
      <c r="H103" s="54" t="s">
        <v>304</v>
      </c>
      <c r="I103" s="19">
        <f>SUM(J103:K103)</f>
        <v>5793674</v>
      </c>
      <c r="J103" s="19">
        <f>SUM(J104:J109)</f>
        <v>5318674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6.8" x14ac:dyDescent="0.3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55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18" customFormat="1" ht="46.8" x14ac:dyDescent="0.3">
      <c r="A105" s="13">
        <v>1013242</v>
      </c>
      <c r="B105" s="69">
        <v>84</v>
      </c>
      <c r="C105" s="22">
        <v>3242</v>
      </c>
      <c r="D105" s="16" t="s">
        <v>60</v>
      </c>
      <c r="E105" s="46" t="s">
        <v>270</v>
      </c>
      <c r="F105" s="23" t="s">
        <v>82</v>
      </c>
      <c r="G105" s="12" t="s">
        <v>211</v>
      </c>
      <c r="H105" s="55" t="s">
        <v>304</v>
      </c>
      <c r="I105" s="20">
        <f>SUM(J105:K105)</f>
        <v>48000</v>
      </c>
      <c r="J105" s="20">
        <v>48000</v>
      </c>
      <c r="K105" s="20"/>
      <c r="L105" s="20"/>
    </row>
    <row r="106" spans="1:12" s="18" customFormat="1" ht="46.8" x14ac:dyDescent="0.3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55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6.8" x14ac:dyDescent="0.3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55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3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55" t="s">
        <v>304</v>
      </c>
      <c r="I108" s="20">
        <f t="shared" si="20"/>
        <v>1692999</v>
      </c>
      <c r="J108" s="20">
        <f>1762299-5300-64000</f>
        <v>1692999</v>
      </c>
      <c r="K108" s="20"/>
      <c r="L108" s="20"/>
    </row>
    <row r="109" spans="1:12" s="18" customFormat="1" ht="46.8" x14ac:dyDescent="0.3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55" t="s">
        <v>304</v>
      </c>
      <c r="I109" s="20">
        <f t="shared" si="20"/>
        <v>879000</v>
      </c>
      <c r="J109" s="20">
        <f>879000+100000-100000</f>
        <v>879000</v>
      </c>
      <c r="K109" s="20"/>
      <c r="L109" s="20"/>
    </row>
    <row r="110" spans="1:12" s="49" customFormat="1" ht="39.6" customHeight="1" x14ac:dyDescent="0.3">
      <c r="A110" s="21">
        <v>24</v>
      </c>
      <c r="B110" s="41">
        <v>87</v>
      </c>
      <c r="C110" s="71" t="s">
        <v>212</v>
      </c>
      <c r="D110" s="72"/>
      <c r="E110" s="72"/>
      <c r="F110" s="72"/>
      <c r="G110" s="73"/>
      <c r="H110" s="54" t="s">
        <v>305</v>
      </c>
      <c r="I110" s="19">
        <f>SUM(J110:K110)</f>
        <v>72003456.840000004</v>
      </c>
      <c r="J110" s="19">
        <f>SUM(J111:J120)</f>
        <v>69637656.840000004</v>
      </c>
      <c r="K110" s="19">
        <f>SUM(K111:K120)</f>
        <v>2365800</v>
      </c>
      <c r="L110" s="19">
        <f>SUM(L111:L120)</f>
        <v>2365800</v>
      </c>
    </row>
    <row r="111" spans="1:12" s="18" customFormat="1" ht="53.25" customHeight="1" x14ac:dyDescent="0.3">
      <c r="A111" s="13" t="s">
        <v>5</v>
      </c>
      <c r="B111" s="66">
        <v>87</v>
      </c>
      <c r="C111" s="13" t="s">
        <v>17</v>
      </c>
      <c r="D111" s="13" t="s">
        <v>9</v>
      </c>
      <c r="E111" s="57" t="s">
        <v>6</v>
      </c>
      <c r="F111" s="23" t="s">
        <v>154</v>
      </c>
      <c r="G111" s="12" t="s">
        <v>212</v>
      </c>
      <c r="H111" s="55" t="s">
        <v>305</v>
      </c>
      <c r="I111" s="20">
        <f t="shared" ref="I111:I120" si="21">SUM(J111:K111)</f>
        <v>8276651.4199999999</v>
      </c>
      <c r="J111" s="20">
        <f>8482951.42-206300</f>
        <v>8276651.4199999999</v>
      </c>
      <c r="K111" s="20"/>
      <c r="L111" s="20"/>
    </row>
    <row r="112" spans="1:12" s="18" customFormat="1" ht="68.25" customHeight="1" x14ac:dyDescent="0.3">
      <c r="A112" s="13" t="s">
        <v>232</v>
      </c>
      <c r="B112" s="66">
        <v>87</v>
      </c>
      <c r="C112" s="13" t="s">
        <v>247</v>
      </c>
      <c r="D112" s="13" t="s">
        <v>248</v>
      </c>
      <c r="E112" s="57" t="s">
        <v>251</v>
      </c>
      <c r="F112" s="23" t="s">
        <v>154</v>
      </c>
      <c r="G112" s="12" t="s">
        <v>212</v>
      </c>
      <c r="H112" s="55" t="s">
        <v>305</v>
      </c>
      <c r="I112" s="20">
        <f t="shared" si="21"/>
        <v>54060122.640000001</v>
      </c>
      <c r="J112" s="20">
        <f>59046845.26-2521000-108902.62-2000000-356820</f>
        <v>54060122.640000001</v>
      </c>
      <c r="K112" s="20"/>
      <c r="L112" s="20"/>
    </row>
    <row r="113" spans="1:12" s="18" customFormat="1" ht="93.6" x14ac:dyDescent="0.3">
      <c r="A113" s="13" t="s">
        <v>233</v>
      </c>
      <c r="B113" s="66">
        <v>87</v>
      </c>
      <c r="C113" s="13" t="s">
        <v>249</v>
      </c>
      <c r="D113" s="13" t="s">
        <v>250</v>
      </c>
      <c r="E113" s="57" t="s">
        <v>252</v>
      </c>
      <c r="F113" s="23" t="s">
        <v>154</v>
      </c>
      <c r="G113" s="12" t="s">
        <v>212</v>
      </c>
      <c r="H113" s="55" t="s">
        <v>305</v>
      </c>
      <c r="I113" s="20">
        <f t="shared" si="21"/>
        <v>4318925.2699999996</v>
      </c>
      <c r="J113" s="20">
        <f>4370260.27-51335</f>
        <v>4318925.2699999996</v>
      </c>
      <c r="K113" s="20"/>
      <c r="L113" s="20"/>
    </row>
    <row r="114" spans="1:12" s="18" customFormat="1" ht="73.5" customHeight="1" x14ac:dyDescent="0.3">
      <c r="A114" s="16" t="s">
        <v>234</v>
      </c>
      <c r="B114" s="34">
        <v>87</v>
      </c>
      <c r="C114" s="22">
        <v>1070</v>
      </c>
      <c r="D114" s="13" t="s">
        <v>223</v>
      </c>
      <c r="E114" s="46" t="s">
        <v>235</v>
      </c>
      <c r="F114" s="23" t="s">
        <v>154</v>
      </c>
      <c r="G114" s="12" t="s">
        <v>212</v>
      </c>
      <c r="H114" s="55" t="s">
        <v>305</v>
      </c>
      <c r="I114" s="20">
        <f t="shared" si="21"/>
        <v>1678695.32</v>
      </c>
      <c r="J114" s="20">
        <f>1712478.32-33783</f>
        <v>1678695.32</v>
      </c>
      <c r="K114" s="20"/>
      <c r="L114" s="20"/>
    </row>
    <row r="115" spans="1:12" s="18" customFormat="1" ht="62.25" customHeight="1" x14ac:dyDescent="0.3">
      <c r="A115" s="13" t="s">
        <v>236</v>
      </c>
      <c r="B115" s="66">
        <v>87</v>
      </c>
      <c r="C115" s="13" t="s">
        <v>237</v>
      </c>
      <c r="D115" s="13" t="s">
        <v>238</v>
      </c>
      <c r="E115" s="57" t="s">
        <v>244</v>
      </c>
      <c r="F115" s="23" t="s">
        <v>154</v>
      </c>
      <c r="G115" s="12" t="s">
        <v>212</v>
      </c>
      <c r="H115" s="55" t="s">
        <v>305</v>
      </c>
      <c r="I115" s="20">
        <f t="shared" si="21"/>
        <v>16500</v>
      </c>
      <c r="J115" s="20">
        <v>16500</v>
      </c>
      <c r="K115" s="20"/>
      <c r="L115" s="20"/>
    </row>
    <row r="116" spans="1:12" s="18" customFormat="1" ht="46.8" x14ac:dyDescent="0.3">
      <c r="A116" s="13" t="s">
        <v>240</v>
      </c>
      <c r="B116" s="66">
        <v>87</v>
      </c>
      <c r="C116" s="13" t="s">
        <v>241</v>
      </c>
      <c r="D116" s="13" t="s">
        <v>239</v>
      </c>
      <c r="E116" s="57" t="s">
        <v>245</v>
      </c>
      <c r="F116" s="23" t="s">
        <v>154</v>
      </c>
      <c r="G116" s="12" t="s">
        <v>212</v>
      </c>
      <c r="H116" s="55" t="s">
        <v>305</v>
      </c>
      <c r="I116" s="20">
        <f t="shared" si="21"/>
        <v>249414.78</v>
      </c>
      <c r="J116" s="20">
        <v>249414.78</v>
      </c>
      <c r="K116" s="20"/>
      <c r="L116" s="20"/>
    </row>
    <row r="117" spans="1:12" s="18" customFormat="1" ht="60.6" customHeight="1" x14ac:dyDescent="0.3">
      <c r="A117" s="13" t="s">
        <v>242</v>
      </c>
      <c r="B117" s="66">
        <v>87</v>
      </c>
      <c r="C117" s="13" t="s">
        <v>243</v>
      </c>
      <c r="D117" s="13" t="s">
        <v>239</v>
      </c>
      <c r="E117" s="57" t="s">
        <v>246</v>
      </c>
      <c r="F117" s="23" t="s">
        <v>154</v>
      </c>
      <c r="G117" s="12" t="s">
        <v>212</v>
      </c>
      <c r="H117" s="55" t="s">
        <v>305</v>
      </c>
      <c r="I117" s="20">
        <f t="shared" si="21"/>
        <v>276124.03999999998</v>
      </c>
      <c r="J117" s="20">
        <v>276124.03999999998</v>
      </c>
      <c r="K117" s="20"/>
      <c r="L117" s="20"/>
    </row>
    <row r="118" spans="1:12" s="18" customFormat="1" ht="124.8" x14ac:dyDescent="0.3">
      <c r="A118" s="16" t="s">
        <v>314</v>
      </c>
      <c r="B118" s="13">
        <v>87</v>
      </c>
      <c r="C118" s="13">
        <v>1183</v>
      </c>
      <c r="D118" s="16" t="s">
        <v>239</v>
      </c>
      <c r="E118" s="57" t="s">
        <v>315</v>
      </c>
      <c r="F118" s="23" t="s">
        <v>154</v>
      </c>
      <c r="G118" s="12" t="s">
        <v>212</v>
      </c>
      <c r="H118" s="55" t="s">
        <v>305</v>
      </c>
      <c r="I118" s="20">
        <f t="shared" si="21"/>
        <v>685800</v>
      </c>
      <c r="J118" s="20"/>
      <c r="K118" s="20">
        <f>606500+79300</f>
        <v>685800</v>
      </c>
      <c r="L118" s="20">
        <f>606500+79300</f>
        <v>685800</v>
      </c>
    </row>
    <row r="119" spans="1:12" s="18" customFormat="1" ht="72.599999999999994" customHeight="1" x14ac:dyDescent="0.3">
      <c r="A119" s="13" t="s">
        <v>256</v>
      </c>
      <c r="B119" s="66">
        <v>87</v>
      </c>
      <c r="C119" s="13" t="s">
        <v>257</v>
      </c>
      <c r="D119" s="13" t="s">
        <v>25</v>
      </c>
      <c r="E119" s="57" t="s">
        <v>258</v>
      </c>
      <c r="F119" s="23" t="s">
        <v>154</v>
      </c>
      <c r="G119" s="12" t="s">
        <v>212</v>
      </c>
      <c r="H119" s="55" t="s">
        <v>305</v>
      </c>
      <c r="I119" s="20">
        <f t="shared" si="21"/>
        <v>761223.37</v>
      </c>
      <c r="J119" s="20">
        <f>768830.37-7607</f>
        <v>761223.37</v>
      </c>
      <c r="K119" s="20"/>
      <c r="L119" s="20"/>
    </row>
    <row r="120" spans="1:12" s="18" customFormat="1" ht="72.599999999999994" customHeight="1" x14ac:dyDescent="0.3">
      <c r="A120" s="13">
        <v>3719720</v>
      </c>
      <c r="B120" s="13">
        <v>87</v>
      </c>
      <c r="C120" s="16" t="s">
        <v>325</v>
      </c>
      <c r="D120" s="16" t="s">
        <v>80</v>
      </c>
      <c r="E120" s="57" t="s">
        <v>324</v>
      </c>
      <c r="F120" s="23" t="s">
        <v>93</v>
      </c>
      <c r="G120" s="12" t="s">
        <v>212</v>
      </c>
      <c r="H120" s="55" t="s">
        <v>305</v>
      </c>
      <c r="I120" s="20">
        <f t="shared" si="21"/>
        <v>1680000</v>
      </c>
      <c r="J120" s="20"/>
      <c r="K120" s="20">
        <v>1680000</v>
      </c>
      <c r="L120" s="20">
        <v>1680000</v>
      </c>
    </row>
    <row r="121" spans="1:12" s="49" customFormat="1" ht="35.4" customHeight="1" x14ac:dyDescent="0.3">
      <c r="A121" s="21">
        <v>25</v>
      </c>
      <c r="B121" s="41">
        <v>88</v>
      </c>
      <c r="C121" s="71" t="s">
        <v>213</v>
      </c>
      <c r="D121" s="72"/>
      <c r="E121" s="72"/>
      <c r="F121" s="72"/>
      <c r="G121" s="73"/>
      <c r="H121" s="54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3">
      <c r="A122" s="13" t="s">
        <v>253</v>
      </c>
      <c r="B122" s="6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55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3">
      <c r="A123" s="16" t="s">
        <v>259</v>
      </c>
      <c r="B123" s="6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55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3.6" x14ac:dyDescent="0.3">
      <c r="A124" s="13" t="s">
        <v>260</v>
      </c>
      <c r="B124" s="6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55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50000000000003" customHeight="1" x14ac:dyDescent="0.3">
      <c r="A125" s="21">
        <v>26</v>
      </c>
      <c r="B125" s="41">
        <v>94</v>
      </c>
      <c r="C125" s="71" t="s">
        <v>214</v>
      </c>
      <c r="D125" s="72"/>
      <c r="E125" s="72"/>
      <c r="F125" s="72"/>
      <c r="G125" s="73"/>
      <c r="H125" s="54" t="s">
        <v>307</v>
      </c>
      <c r="I125" s="19">
        <f t="shared" si="23"/>
        <v>972400</v>
      </c>
      <c r="J125" s="19">
        <f>SUM(J126)</f>
        <v>972400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3">
      <c r="A126" s="13" t="s">
        <v>261</v>
      </c>
      <c r="B126" s="6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55" t="s">
        <v>307</v>
      </c>
      <c r="I126" s="20">
        <f t="shared" si="23"/>
        <v>972400</v>
      </c>
      <c r="J126" s="20">
        <f>1097600-125200</f>
        <v>972400</v>
      </c>
      <c r="K126" s="20"/>
      <c r="L126" s="20"/>
    </row>
    <row r="127" spans="1:12" s="49" customFormat="1" ht="54" customHeight="1" x14ac:dyDescent="0.3">
      <c r="A127" s="21">
        <v>27</v>
      </c>
      <c r="B127" s="41">
        <v>95</v>
      </c>
      <c r="C127" s="71" t="s">
        <v>215</v>
      </c>
      <c r="D127" s="72"/>
      <c r="E127" s="72"/>
      <c r="F127" s="72"/>
      <c r="G127" s="73"/>
      <c r="H127" s="54" t="s">
        <v>308</v>
      </c>
      <c r="I127" s="19">
        <f t="shared" si="23"/>
        <v>47097260</v>
      </c>
      <c r="J127" s="19">
        <f>SUM(J128:J139)</f>
        <v>47097260</v>
      </c>
      <c r="K127" s="19">
        <f>SUM(K128:K139)</f>
        <v>0</v>
      </c>
      <c r="L127" s="19">
        <f>SUM(L128:L139)</f>
        <v>0</v>
      </c>
    </row>
    <row r="128" spans="1:12" s="18" customFormat="1" ht="62.4" x14ac:dyDescent="0.3">
      <c r="A128" s="15" t="s">
        <v>269</v>
      </c>
      <c r="B128" s="6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55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2.4" x14ac:dyDescent="0.3">
      <c r="A129" s="15" t="s">
        <v>13</v>
      </c>
      <c r="B129" s="6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55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2.4" x14ac:dyDescent="0.3">
      <c r="A130" s="11" t="s">
        <v>266</v>
      </c>
      <c r="B130" s="68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55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2.4" x14ac:dyDescent="0.3">
      <c r="A131" s="11" t="s">
        <v>284</v>
      </c>
      <c r="B131" s="68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55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2.4" x14ac:dyDescent="0.3">
      <c r="A132" s="11" t="s">
        <v>14</v>
      </c>
      <c r="B132" s="68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55" t="s">
        <v>308</v>
      </c>
      <c r="I132" s="20">
        <f t="shared" si="23"/>
        <v>452000</v>
      </c>
      <c r="J132" s="20">
        <f>945800-493800</f>
        <v>452000</v>
      </c>
      <c r="K132" s="20"/>
      <c r="L132" s="20"/>
    </row>
    <row r="133" spans="1:13" s="18" customFormat="1" ht="62.4" x14ac:dyDescent="0.3">
      <c r="A133" s="11" t="s">
        <v>271</v>
      </c>
      <c r="B133" s="68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55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3">
      <c r="A134" s="11" t="s">
        <v>274</v>
      </c>
      <c r="B134" s="68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55" t="s">
        <v>308</v>
      </c>
      <c r="I134" s="20">
        <f t="shared" si="23"/>
        <v>2262800</v>
      </c>
      <c r="J134" s="20">
        <f>2900000-441200-196000</f>
        <v>2262800</v>
      </c>
      <c r="K134" s="20"/>
      <c r="L134" s="20"/>
    </row>
    <row r="135" spans="1:13" s="18" customFormat="1" ht="93.6" x14ac:dyDescent="0.3">
      <c r="A135" s="11" t="s">
        <v>277</v>
      </c>
      <c r="B135" s="68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55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3">
      <c r="A136" s="11" t="s">
        <v>281</v>
      </c>
      <c r="B136" s="68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55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2.4" x14ac:dyDescent="0.3">
      <c r="A137" s="11" t="s">
        <v>70</v>
      </c>
      <c r="B137" s="68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55" t="s">
        <v>308</v>
      </c>
      <c r="I137" s="20">
        <f t="shared" si="23"/>
        <v>35402060</v>
      </c>
      <c r="J137" s="20">
        <f>59503000-19713400-2000000-2583540+196000</f>
        <v>35402060</v>
      </c>
      <c r="K137" s="20"/>
      <c r="L137" s="20"/>
    </row>
    <row r="138" spans="1:13" s="18" customFormat="1" ht="62.4" x14ac:dyDescent="0.3">
      <c r="A138" s="16" t="s">
        <v>97</v>
      </c>
      <c r="B138" s="6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55" t="s">
        <v>308</v>
      </c>
      <c r="I138" s="20">
        <f t="shared" si="23"/>
        <v>303100</v>
      </c>
      <c r="J138" s="20">
        <f>313600-10500</f>
        <v>303100</v>
      </c>
      <c r="K138" s="20"/>
      <c r="L138" s="20"/>
    </row>
    <row r="139" spans="1:13" s="18" customFormat="1" ht="62.4" x14ac:dyDescent="0.3">
      <c r="A139" s="13">
        <v>3719770</v>
      </c>
      <c r="B139" s="6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55" t="s">
        <v>308</v>
      </c>
      <c r="I139" s="20">
        <f t="shared" si="23"/>
        <v>3699800</v>
      </c>
      <c r="J139" s="20">
        <f>2300000+21800+578000+800000</f>
        <v>3699800</v>
      </c>
      <c r="K139" s="20"/>
      <c r="L139" s="20"/>
    </row>
    <row r="140" spans="1:13" s="49" customFormat="1" ht="44.4" customHeight="1" x14ac:dyDescent="0.3">
      <c r="A140" s="21">
        <v>28</v>
      </c>
      <c r="B140" s="41">
        <v>96</v>
      </c>
      <c r="C140" s="71" t="s">
        <v>216</v>
      </c>
      <c r="D140" s="72"/>
      <c r="E140" s="72"/>
      <c r="F140" s="72"/>
      <c r="G140" s="73"/>
      <c r="H140" s="54" t="s">
        <v>309</v>
      </c>
      <c r="I140" s="19">
        <f>SUM(J140:K140)</f>
        <v>564000</v>
      </c>
      <c r="J140" s="19">
        <f>SUM(J141)</f>
        <v>564000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2.4" x14ac:dyDescent="0.3">
      <c r="A141" s="11" t="s">
        <v>53</v>
      </c>
      <c r="B141" s="68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55" t="s">
        <v>309</v>
      </c>
      <c r="I141" s="20">
        <f>SUM(J141:K141)</f>
        <v>564000</v>
      </c>
      <c r="J141" s="20">
        <f>600000-36000</f>
        <v>564000</v>
      </c>
      <c r="K141" s="20"/>
      <c r="L141" s="20"/>
    </row>
    <row r="142" spans="1:13" s="49" customFormat="1" ht="59.25" customHeight="1" x14ac:dyDescent="0.3">
      <c r="A142" s="21">
        <v>29</v>
      </c>
      <c r="B142" s="41">
        <v>97</v>
      </c>
      <c r="C142" s="71" t="s">
        <v>303</v>
      </c>
      <c r="D142" s="72"/>
      <c r="E142" s="72"/>
      <c r="F142" s="72"/>
      <c r="G142" s="73"/>
      <c r="H142" s="54" t="s">
        <v>310</v>
      </c>
      <c r="I142" s="19">
        <f>SUM(J142:K142)</f>
        <v>109711412.41</v>
      </c>
      <c r="J142" s="19">
        <f>SUM(J143:J157)</f>
        <v>35386805.200000003</v>
      </c>
      <c r="K142" s="19">
        <f t="shared" ref="K142:L142" si="26">SUM(K143:K157)</f>
        <v>74324607.209999993</v>
      </c>
      <c r="L142" s="19">
        <f t="shared" si="26"/>
        <v>72690316.5</v>
      </c>
      <c r="M142" s="62"/>
    </row>
    <row r="143" spans="1:13" s="18" customFormat="1" ht="93.6" x14ac:dyDescent="0.3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55" t="s">
        <v>310</v>
      </c>
      <c r="I143" s="20">
        <f t="shared" ref="I143:I157" si="27">SUM(J143:K143)</f>
        <v>1944535.2</v>
      </c>
      <c r="J143" s="20">
        <f>1658000+206500-64050+11000+15000-1264.8+119350</f>
        <v>1944535.2</v>
      </c>
      <c r="K143" s="20"/>
      <c r="L143" s="20"/>
    </row>
    <row r="144" spans="1:13" s="18" customFormat="1" ht="93.6" x14ac:dyDescent="0.3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55" t="s">
        <v>310</v>
      </c>
      <c r="I144" s="20">
        <f>SUM(J144:K144)</f>
        <v>17382680</v>
      </c>
      <c r="J144" s="20">
        <f>667550+6694750+1300000-606500-1780000+9375000+3500000-1768120</f>
        <v>17382680</v>
      </c>
      <c r="K144" s="20"/>
      <c r="L144" s="20"/>
    </row>
    <row r="145" spans="1:12" s="18" customFormat="1" ht="93.6" x14ac:dyDescent="0.3">
      <c r="A145" s="16" t="s">
        <v>355</v>
      </c>
      <c r="B145" s="34"/>
      <c r="C145" s="22">
        <v>1310</v>
      </c>
      <c r="D145" s="16" t="s">
        <v>239</v>
      </c>
      <c r="E145" s="46" t="s">
        <v>356</v>
      </c>
      <c r="F145" s="23" t="s">
        <v>154</v>
      </c>
      <c r="G145" s="12" t="s">
        <v>217</v>
      </c>
      <c r="H145" s="55" t="s">
        <v>310</v>
      </c>
      <c r="I145" s="20">
        <f>SUM(J145:K145)</f>
        <v>1463111</v>
      </c>
      <c r="J145" s="20">
        <v>1463111</v>
      </c>
      <c r="K145" s="20"/>
      <c r="L145" s="20"/>
    </row>
    <row r="146" spans="1:12" s="18" customFormat="1" ht="93.6" x14ac:dyDescent="0.3">
      <c r="A146" s="16" t="s">
        <v>289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81</v>
      </c>
      <c r="G146" s="12" t="s">
        <v>217</v>
      </c>
      <c r="H146" s="55" t="s">
        <v>310</v>
      </c>
      <c r="I146" s="20">
        <f t="shared" si="27"/>
        <v>41940</v>
      </c>
      <c r="J146" s="20">
        <f>60000-18060</f>
        <v>41940</v>
      </c>
      <c r="K146" s="20"/>
      <c r="L146" s="20"/>
    </row>
    <row r="147" spans="1:12" s="18" customFormat="1" ht="93.6" x14ac:dyDescent="0.3">
      <c r="A147" s="16" t="s">
        <v>290</v>
      </c>
      <c r="B147" s="34">
        <v>97</v>
      </c>
      <c r="C147" s="22">
        <v>8110</v>
      </c>
      <c r="D147" s="16" t="s">
        <v>297</v>
      </c>
      <c r="E147" s="46" t="s">
        <v>296</v>
      </c>
      <c r="F147" s="23" t="s">
        <v>82</v>
      </c>
      <c r="G147" s="12" t="s">
        <v>217</v>
      </c>
      <c r="H147" s="55" t="s">
        <v>310</v>
      </c>
      <c r="I147" s="20">
        <f t="shared" si="27"/>
        <v>135000</v>
      </c>
      <c r="J147" s="20">
        <f>65000+550000-550000+70000</f>
        <v>135000</v>
      </c>
      <c r="K147" s="20"/>
      <c r="L147" s="20"/>
    </row>
    <row r="148" spans="1:12" s="18" customFormat="1" ht="93.6" x14ac:dyDescent="0.3">
      <c r="A148" s="16" t="s">
        <v>353</v>
      </c>
      <c r="B148" s="34"/>
      <c r="C148" s="22">
        <v>6093</v>
      </c>
      <c r="D148" s="16"/>
      <c r="E148" s="70" t="s">
        <v>354</v>
      </c>
      <c r="F148" s="23" t="s">
        <v>155</v>
      </c>
      <c r="G148" s="12" t="s">
        <v>217</v>
      </c>
      <c r="H148" s="55" t="s">
        <v>310</v>
      </c>
      <c r="I148" s="20">
        <f>J148</f>
        <v>55814</v>
      </c>
      <c r="J148" s="20">
        <f>1505814-1450000</f>
        <v>55814</v>
      </c>
      <c r="K148" s="20"/>
      <c r="L148" s="20"/>
    </row>
    <row r="149" spans="1:12" s="18" customFormat="1" ht="93.6" x14ac:dyDescent="0.3">
      <c r="A149" s="16" t="s">
        <v>346</v>
      </c>
      <c r="B149" s="34"/>
      <c r="C149" s="22">
        <v>6096</v>
      </c>
      <c r="D149" s="16" t="s">
        <v>11</v>
      </c>
      <c r="E149" s="46" t="s">
        <v>347</v>
      </c>
      <c r="F149" s="23" t="s">
        <v>155</v>
      </c>
      <c r="G149" s="12" t="s">
        <v>217</v>
      </c>
      <c r="H149" s="55" t="s">
        <v>310</v>
      </c>
      <c r="I149" s="20">
        <f t="shared" si="27"/>
        <v>5073405</v>
      </c>
      <c r="J149" s="20">
        <f>429405+4644000</f>
        <v>5073405</v>
      </c>
      <c r="K149" s="20"/>
      <c r="L149" s="20"/>
    </row>
    <row r="150" spans="1:12" s="18" customFormat="1" ht="93.6" x14ac:dyDescent="0.3">
      <c r="A150" s="16" t="s">
        <v>291</v>
      </c>
      <c r="B150" s="34">
        <v>97</v>
      </c>
      <c r="C150" s="22">
        <v>8110</v>
      </c>
      <c r="D150" s="16" t="s">
        <v>297</v>
      </c>
      <c r="E150" s="46" t="s">
        <v>296</v>
      </c>
      <c r="F150" s="23" t="s">
        <v>155</v>
      </c>
      <c r="G150" s="12" t="s">
        <v>217</v>
      </c>
      <c r="H150" s="55" t="s">
        <v>310</v>
      </c>
      <c r="I150" s="20">
        <f t="shared" si="27"/>
        <v>4839590</v>
      </c>
      <c r="J150" s="20">
        <f>2300000+650000+40000+849590+1000000</f>
        <v>4839590</v>
      </c>
      <c r="K150" s="20"/>
      <c r="L150" s="20"/>
    </row>
    <row r="151" spans="1:12" s="18" customFormat="1" ht="93.6" x14ac:dyDescent="0.3">
      <c r="A151" s="16" t="s">
        <v>292</v>
      </c>
      <c r="B151" s="34">
        <v>97</v>
      </c>
      <c r="C151" s="22">
        <v>1300</v>
      </c>
      <c r="D151" s="16" t="s">
        <v>239</v>
      </c>
      <c r="E151" s="46" t="s">
        <v>298</v>
      </c>
      <c r="F151" s="23" t="s">
        <v>157</v>
      </c>
      <c r="G151" s="12" t="s">
        <v>217</v>
      </c>
      <c r="H151" s="55" t="s">
        <v>310</v>
      </c>
      <c r="I151" s="20">
        <f>SUM(J151:K151)</f>
        <v>67305316.5</v>
      </c>
      <c r="J151" s="20"/>
      <c r="K151" s="20">
        <f>67371232.5-65916</f>
        <v>67305316.5</v>
      </c>
      <c r="L151" s="20">
        <f>67371232.5-65916</f>
        <v>67305316.5</v>
      </c>
    </row>
    <row r="152" spans="1:12" s="18" customFormat="1" ht="93.6" x14ac:dyDescent="0.3">
      <c r="A152" s="16" t="s">
        <v>293</v>
      </c>
      <c r="B152" s="34">
        <v>97</v>
      </c>
      <c r="C152" s="22">
        <v>2171</v>
      </c>
      <c r="D152" s="16" t="s">
        <v>55</v>
      </c>
      <c r="E152" s="46" t="s">
        <v>299</v>
      </c>
      <c r="F152" s="23" t="s">
        <v>157</v>
      </c>
      <c r="G152" s="12" t="s">
        <v>217</v>
      </c>
      <c r="H152" s="55" t="s">
        <v>310</v>
      </c>
      <c r="I152" s="20">
        <f t="shared" si="27"/>
        <v>7050730</v>
      </c>
      <c r="J152" s="20">
        <v>2050730</v>
      </c>
      <c r="K152" s="20">
        <f>7050730-2050730</f>
        <v>5000000</v>
      </c>
      <c r="L152" s="20">
        <f>7050730-2050730</f>
        <v>5000000</v>
      </c>
    </row>
    <row r="153" spans="1:12" s="18" customFormat="1" ht="103.95" customHeight="1" x14ac:dyDescent="0.3">
      <c r="A153" s="16" t="s">
        <v>351</v>
      </c>
      <c r="B153" s="34"/>
      <c r="C153" s="22">
        <v>7330</v>
      </c>
      <c r="D153" s="16" t="s">
        <v>12</v>
      </c>
      <c r="E153" s="57" t="s">
        <v>352</v>
      </c>
      <c r="F153" s="23" t="s">
        <v>157</v>
      </c>
      <c r="G153" s="12" t="s">
        <v>217</v>
      </c>
      <c r="H153" s="55" t="s">
        <v>310</v>
      </c>
      <c r="I153" s="20">
        <f t="shared" si="27"/>
        <v>385000</v>
      </c>
      <c r="J153" s="20"/>
      <c r="K153" s="20">
        <v>385000</v>
      </c>
      <c r="L153" s="20">
        <v>385000</v>
      </c>
    </row>
    <row r="154" spans="1:12" s="18" customFormat="1" ht="140.4" x14ac:dyDescent="0.3">
      <c r="A154" s="16" t="s">
        <v>294</v>
      </c>
      <c r="B154" s="34">
        <v>97</v>
      </c>
      <c r="C154" s="22">
        <v>7691</v>
      </c>
      <c r="D154" s="16" t="s">
        <v>12</v>
      </c>
      <c r="E154" s="46" t="s">
        <v>192</v>
      </c>
      <c r="F154" s="23" t="s">
        <v>157</v>
      </c>
      <c r="G154" s="12" t="s">
        <v>217</v>
      </c>
      <c r="H154" s="55" t="s">
        <v>310</v>
      </c>
      <c r="I154" s="20">
        <f t="shared" si="27"/>
        <v>1634290.71</v>
      </c>
      <c r="J154" s="20"/>
      <c r="K154" s="20">
        <v>1634290.71</v>
      </c>
      <c r="L154" s="20"/>
    </row>
    <row r="155" spans="1:12" s="18" customFormat="1" ht="93.6" x14ac:dyDescent="0.3">
      <c r="A155" s="16" t="s">
        <v>295</v>
      </c>
      <c r="B155" s="34">
        <v>97</v>
      </c>
      <c r="C155" s="22">
        <v>8110</v>
      </c>
      <c r="D155" s="16" t="s">
        <v>297</v>
      </c>
      <c r="E155" s="46" t="s">
        <v>296</v>
      </c>
      <c r="F155" s="23" t="s">
        <v>157</v>
      </c>
      <c r="G155" s="12" t="s">
        <v>217</v>
      </c>
      <c r="H155" s="55" t="s">
        <v>310</v>
      </c>
      <c r="I155" s="20">
        <f t="shared" si="27"/>
        <v>85000</v>
      </c>
      <c r="J155" s="20">
        <f>270000+400000-385000-200000</f>
        <v>85000</v>
      </c>
      <c r="K155" s="20"/>
      <c r="L155" s="20"/>
    </row>
    <row r="156" spans="1:12" s="18" customFormat="1" ht="93.6" x14ac:dyDescent="0.3">
      <c r="A156" s="16" t="s">
        <v>328</v>
      </c>
      <c r="B156" s="69">
        <v>97</v>
      </c>
      <c r="C156" s="22">
        <v>8110</v>
      </c>
      <c r="D156" s="16" t="s">
        <v>297</v>
      </c>
      <c r="E156" s="46" t="s">
        <v>296</v>
      </c>
      <c r="F156" s="23" t="s">
        <v>158</v>
      </c>
      <c r="G156" s="12" t="s">
        <v>217</v>
      </c>
      <c r="H156" s="55" t="s">
        <v>310</v>
      </c>
      <c r="I156" s="20">
        <f t="shared" si="27"/>
        <v>315000</v>
      </c>
      <c r="J156" s="20">
        <f>300000+15000</f>
        <v>315000</v>
      </c>
      <c r="K156" s="20"/>
      <c r="L156" s="20"/>
    </row>
    <row r="157" spans="1:12" s="18" customFormat="1" ht="93.6" x14ac:dyDescent="0.3">
      <c r="A157" s="16" t="s">
        <v>206</v>
      </c>
      <c r="B157" s="34">
        <v>97</v>
      </c>
      <c r="C157" s="22">
        <v>9800</v>
      </c>
      <c r="D157" s="16" t="s">
        <v>80</v>
      </c>
      <c r="E157" s="46" t="s">
        <v>120</v>
      </c>
      <c r="F157" s="23" t="s">
        <v>93</v>
      </c>
      <c r="G157" s="12" t="s">
        <v>217</v>
      </c>
      <c r="H157" s="55" t="s">
        <v>310</v>
      </c>
      <c r="I157" s="20">
        <f t="shared" si="27"/>
        <v>2000000</v>
      </c>
      <c r="J157" s="20">
        <v>2000000</v>
      </c>
      <c r="K157" s="20"/>
      <c r="L157" s="20"/>
    </row>
    <row r="158" spans="1:12" s="49" customFormat="1" ht="31.2" x14ac:dyDescent="0.3">
      <c r="A158" s="21">
        <v>30</v>
      </c>
      <c r="B158" s="41">
        <v>100</v>
      </c>
      <c r="C158" s="71" t="s">
        <v>218</v>
      </c>
      <c r="D158" s="72"/>
      <c r="E158" s="72"/>
      <c r="F158" s="72"/>
      <c r="G158" s="73"/>
      <c r="H158" s="54" t="s">
        <v>311</v>
      </c>
      <c r="I158" s="19">
        <f>SUM(J158:K158)</f>
        <v>500000</v>
      </c>
      <c r="J158" s="19">
        <f>SUM(J159)</f>
        <v>500000</v>
      </c>
      <c r="K158" s="19">
        <f t="shared" ref="K158:L158" si="28">SUM(K159)</f>
        <v>0</v>
      </c>
      <c r="L158" s="19">
        <f t="shared" si="28"/>
        <v>0</v>
      </c>
    </row>
    <row r="159" spans="1:12" s="18" customFormat="1" ht="93.6" x14ac:dyDescent="0.3">
      <c r="A159" s="13">
        <v>1216017</v>
      </c>
      <c r="B159" s="34">
        <v>100</v>
      </c>
      <c r="C159" s="22">
        <v>6017</v>
      </c>
      <c r="D159" s="16" t="s">
        <v>11</v>
      </c>
      <c r="E159" s="46" t="s">
        <v>300</v>
      </c>
      <c r="F159" s="23" t="s">
        <v>155</v>
      </c>
      <c r="G159" s="12" t="s">
        <v>218</v>
      </c>
      <c r="H159" s="55" t="s">
        <v>311</v>
      </c>
      <c r="I159" s="20">
        <f>SUM(J159:K159)</f>
        <v>500000</v>
      </c>
      <c r="J159" s="20">
        <v>500000</v>
      </c>
      <c r="K159" s="20"/>
      <c r="L159" s="20"/>
    </row>
    <row r="160" spans="1:12" s="49" customFormat="1" ht="31.2" x14ac:dyDescent="0.3">
      <c r="A160" s="21">
        <v>31</v>
      </c>
      <c r="B160" s="41">
        <v>101</v>
      </c>
      <c r="C160" s="71" t="s">
        <v>318</v>
      </c>
      <c r="D160" s="72"/>
      <c r="E160" s="72"/>
      <c r="F160" s="72"/>
      <c r="G160" s="73"/>
      <c r="H160" s="54" t="s">
        <v>322</v>
      </c>
      <c r="I160" s="19">
        <f>J160+K160</f>
        <v>500000</v>
      </c>
      <c r="J160" s="19">
        <f>J161</f>
        <v>500000</v>
      </c>
      <c r="K160" s="19"/>
      <c r="L160" s="19"/>
    </row>
    <row r="161" spans="1:13" s="18" customFormat="1" ht="70.2" customHeight="1" x14ac:dyDescent="0.3">
      <c r="A161" s="16" t="s">
        <v>320</v>
      </c>
      <c r="B161" s="34">
        <v>101</v>
      </c>
      <c r="C161" s="22">
        <v>7610</v>
      </c>
      <c r="D161" s="16" t="s">
        <v>321</v>
      </c>
      <c r="E161" s="46" t="s">
        <v>319</v>
      </c>
      <c r="F161" s="23" t="s">
        <v>265</v>
      </c>
      <c r="G161" s="12" t="s">
        <v>318</v>
      </c>
      <c r="H161" s="55" t="s">
        <v>322</v>
      </c>
      <c r="I161" s="20">
        <f>J161+K161</f>
        <v>500000</v>
      </c>
      <c r="J161" s="20">
        <v>500000</v>
      </c>
      <c r="K161" s="20"/>
      <c r="L161" s="20"/>
    </row>
    <row r="162" spans="1:13" s="49" customFormat="1" ht="31.2" x14ac:dyDescent="0.3">
      <c r="A162" s="21">
        <v>32</v>
      </c>
      <c r="B162" s="41">
        <v>102</v>
      </c>
      <c r="C162" s="71" t="s">
        <v>323</v>
      </c>
      <c r="D162" s="72"/>
      <c r="E162" s="72"/>
      <c r="F162" s="72"/>
      <c r="G162" s="73"/>
      <c r="H162" s="54" t="s">
        <v>326</v>
      </c>
      <c r="I162" s="19">
        <f>J162+K162</f>
        <v>1000000</v>
      </c>
      <c r="J162" s="19">
        <f>J163</f>
        <v>1000000</v>
      </c>
      <c r="K162" s="19"/>
      <c r="L162" s="19"/>
    </row>
    <row r="163" spans="1:13" s="18" customFormat="1" ht="109.2" x14ac:dyDescent="0.3">
      <c r="A163" s="11" t="s">
        <v>206</v>
      </c>
      <c r="B163" s="33">
        <v>102</v>
      </c>
      <c r="C163" s="11" t="s">
        <v>207</v>
      </c>
      <c r="D163" s="11" t="s">
        <v>80</v>
      </c>
      <c r="E163" s="53" t="s">
        <v>120</v>
      </c>
      <c r="F163" s="45" t="s">
        <v>93</v>
      </c>
      <c r="G163" s="12" t="s">
        <v>323</v>
      </c>
      <c r="H163" s="55" t="s">
        <v>327</v>
      </c>
      <c r="I163" s="20">
        <f t="shared" ref="I163" si="29">J163+K163</f>
        <v>1000000</v>
      </c>
      <c r="J163" s="20">
        <f>500000+500000</f>
        <v>1000000</v>
      </c>
      <c r="K163" s="20"/>
      <c r="L163" s="20"/>
    </row>
    <row r="164" spans="1:13" s="49" customFormat="1" ht="31.2" x14ac:dyDescent="0.3">
      <c r="A164" s="21">
        <v>33</v>
      </c>
      <c r="B164" s="41">
        <v>103</v>
      </c>
      <c r="C164" s="71" t="s">
        <v>339</v>
      </c>
      <c r="D164" s="72"/>
      <c r="E164" s="72"/>
      <c r="F164" s="72"/>
      <c r="G164" s="73"/>
      <c r="H164" s="54" t="s">
        <v>341</v>
      </c>
      <c r="I164" s="19">
        <f>J164+K164</f>
        <v>60000</v>
      </c>
      <c r="J164" s="19">
        <f>J165</f>
        <v>60000</v>
      </c>
      <c r="K164" s="19"/>
      <c r="L164" s="19"/>
    </row>
    <row r="165" spans="1:13" s="18" customFormat="1" ht="78" x14ac:dyDescent="0.3">
      <c r="A165" s="11" t="s">
        <v>206</v>
      </c>
      <c r="B165" s="33">
        <v>103</v>
      </c>
      <c r="C165" s="11" t="s">
        <v>207</v>
      </c>
      <c r="D165" s="11" t="s">
        <v>80</v>
      </c>
      <c r="E165" s="53" t="s">
        <v>120</v>
      </c>
      <c r="F165" s="45" t="s">
        <v>93</v>
      </c>
      <c r="G165" s="12" t="s">
        <v>339</v>
      </c>
      <c r="H165" s="55" t="s">
        <v>341</v>
      </c>
      <c r="I165" s="20">
        <f t="shared" ref="I165" si="30">J165+K165</f>
        <v>60000</v>
      </c>
      <c r="J165" s="20">
        <v>60000</v>
      </c>
      <c r="K165" s="20"/>
      <c r="L165" s="20"/>
    </row>
    <row r="166" spans="1:13" s="49" customFormat="1" ht="31.2" x14ac:dyDescent="0.3">
      <c r="A166" s="21">
        <v>34</v>
      </c>
      <c r="B166" s="41">
        <v>104</v>
      </c>
      <c r="C166" s="71" t="s">
        <v>340</v>
      </c>
      <c r="D166" s="72"/>
      <c r="E166" s="72"/>
      <c r="F166" s="72"/>
      <c r="G166" s="73"/>
      <c r="H166" s="54" t="s">
        <v>342</v>
      </c>
      <c r="I166" s="19">
        <f>J166+K166</f>
        <v>1100000</v>
      </c>
      <c r="J166" s="19">
        <f>J167</f>
        <v>1100000</v>
      </c>
      <c r="K166" s="19"/>
      <c r="L166" s="19"/>
    </row>
    <row r="167" spans="1:13" s="18" customFormat="1" ht="62.4" x14ac:dyDescent="0.3">
      <c r="A167" s="11" t="s">
        <v>206</v>
      </c>
      <c r="B167" s="33">
        <v>104</v>
      </c>
      <c r="C167" s="11" t="s">
        <v>207</v>
      </c>
      <c r="D167" s="11" t="s">
        <v>80</v>
      </c>
      <c r="E167" s="53" t="s">
        <v>120</v>
      </c>
      <c r="F167" s="45" t="s">
        <v>93</v>
      </c>
      <c r="G167" s="12" t="s">
        <v>340</v>
      </c>
      <c r="H167" s="55" t="s">
        <v>342</v>
      </c>
      <c r="I167" s="20">
        <f t="shared" ref="I167" si="31">J167+K167</f>
        <v>1100000</v>
      </c>
      <c r="J167" s="20">
        <f>550000+550000</f>
        <v>1100000</v>
      </c>
      <c r="K167" s="20"/>
      <c r="L167" s="20"/>
    </row>
    <row r="168" spans="1:13" s="18" customFormat="1" ht="15.6" x14ac:dyDescent="0.3">
      <c r="A168" s="11"/>
      <c r="B168" s="33"/>
      <c r="C168" s="11"/>
      <c r="D168" s="11"/>
      <c r="E168" s="53"/>
      <c r="F168" s="45"/>
      <c r="G168" s="12"/>
      <c r="H168" s="55"/>
      <c r="I168" s="20"/>
      <c r="J168" s="20"/>
      <c r="K168" s="20"/>
      <c r="L168" s="20"/>
    </row>
    <row r="169" spans="1:13" s="43" customFormat="1" ht="17.399999999999999" x14ac:dyDescent="0.3">
      <c r="A169" s="84" t="s">
        <v>99</v>
      </c>
      <c r="B169" s="84"/>
      <c r="C169" s="84"/>
      <c r="D169" s="84"/>
      <c r="E169" s="84"/>
      <c r="F169" s="84"/>
      <c r="G169" s="84"/>
      <c r="H169" s="84"/>
      <c r="I169" s="25">
        <f>I15+I17+I20+I23+I34+I36+I48+I50+I52+I54+I56+I60+I62+I65+I73+I77+I85+I91+I93+I95+I99+I101+I103+I110+I121+I125+I127+I140+I142+I158+I160+I162+I164+I166</f>
        <v>800566538.5</v>
      </c>
      <c r="J169" s="25">
        <f>J15+J17+J20+J23+J34+J36+J48+J50+J52+J54+J56+J60+J62+J65+J73+J77+J85+J91+J93+J95+J99+J101+J103+J110+J121+J125+J127+J140+J142+J158+J160+J162+J164+J166</f>
        <v>673219802.03000009</v>
      </c>
      <c r="K169" s="25">
        <f>K15+K17+K20+K23+K34+K36+K48+K50+K52+K54+K56+K60+K62+K65+K73+K77+K85+K91+K93+K95+K99+K101+K103+K110+K121+K125+K127+K140+K142+K158+K160+K162+K164+K166</f>
        <v>127346736.47</v>
      </c>
      <c r="L169" s="25">
        <f>L15+L17+L20+L23+L34+L36+L48+L50+L52+L54+L56+L60+L62+L65+L73+L77+L85+L91+L93+L95+L99+L101+L103+L110+L121+L125+L127+L140+L142+L158+L160+L162+L164+L166</f>
        <v>114062059.00999999</v>
      </c>
    </row>
    <row r="170" spans="1:13" s="50" customFormat="1" ht="18" x14ac:dyDescent="0.3">
      <c r="A170" s="43"/>
      <c r="B170" s="47"/>
      <c r="C170" s="43"/>
      <c r="D170" s="43"/>
      <c r="E170" s="51"/>
      <c r="F170" s="51"/>
      <c r="G170" s="51"/>
      <c r="H170" s="43"/>
      <c r="I170" s="44"/>
      <c r="J170" s="44"/>
      <c r="K170" s="44"/>
      <c r="L170" s="44"/>
    </row>
    <row r="171" spans="1:13" s="14" customFormat="1" ht="36.6" customHeight="1" x14ac:dyDescent="0.3">
      <c r="A171" s="17"/>
      <c r="B171" s="67"/>
      <c r="C171" s="18"/>
      <c r="D171" s="17"/>
      <c r="E171" s="83" t="s">
        <v>343</v>
      </c>
      <c r="F171" s="83"/>
      <c r="G171" s="52"/>
      <c r="H171" s="18" t="s">
        <v>344</v>
      </c>
      <c r="I171" s="18"/>
      <c r="J171" s="18"/>
      <c r="K171" s="18"/>
      <c r="L171" s="18"/>
    </row>
    <row r="172" spans="1:13" x14ac:dyDescent="0.3">
      <c r="I172" s="27"/>
      <c r="J172" s="27"/>
      <c r="K172" s="27"/>
      <c r="L172" s="27"/>
      <c r="M172" s="26"/>
    </row>
    <row r="173" spans="1:13" x14ac:dyDescent="0.3">
      <c r="G173" s="63"/>
      <c r="I173" s="26"/>
      <c r="J173" s="26"/>
      <c r="K173" s="26"/>
      <c r="L173" s="26"/>
    </row>
    <row r="174" spans="1:13" x14ac:dyDescent="0.3">
      <c r="G174" s="63"/>
      <c r="I174" s="26"/>
      <c r="J174" s="26"/>
      <c r="K174" s="26"/>
      <c r="L174" s="26"/>
    </row>
    <row r="175" spans="1:13" x14ac:dyDescent="0.3">
      <c r="G175" s="63"/>
      <c r="I175" s="26"/>
      <c r="J175" s="26"/>
      <c r="K175" s="26"/>
      <c r="L175" s="26"/>
    </row>
    <row r="176" spans="1:13" x14ac:dyDescent="0.3">
      <c r="G176" s="63"/>
      <c r="I176" s="26"/>
      <c r="J176" s="26"/>
      <c r="K176" s="26"/>
      <c r="L176" s="26"/>
    </row>
    <row r="177" spans="7:12" x14ac:dyDescent="0.3">
      <c r="G177" s="63"/>
      <c r="I177" s="26"/>
      <c r="J177" s="26"/>
      <c r="K177" s="26"/>
      <c r="L177" s="26"/>
    </row>
    <row r="178" spans="7:12" x14ac:dyDescent="0.3">
      <c r="G178" s="63"/>
      <c r="I178" s="26"/>
      <c r="J178" s="26"/>
      <c r="K178" s="26"/>
      <c r="L178" s="26"/>
    </row>
    <row r="179" spans="7:12" x14ac:dyDescent="0.3">
      <c r="G179" s="63"/>
      <c r="I179" s="26"/>
      <c r="J179" s="26"/>
      <c r="K179" s="26"/>
      <c r="L179" s="26"/>
    </row>
    <row r="180" spans="7:12" x14ac:dyDescent="0.3">
      <c r="G180" s="63"/>
      <c r="I180" s="26"/>
      <c r="J180" s="26"/>
      <c r="K180" s="26"/>
      <c r="L180" s="26"/>
    </row>
    <row r="181" spans="7:12" x14ac:dyDescent="0.3">
      <c r="G181" s="63"/>
      <c r="I181" s="26"/>
      <c r="J181" s="26"/>
      <c r="K181" s="26"/>
      <c r="L181" s="26"/>
    </row>
    <row r="182" spans="7:12" x14ac:dyDescent="0.3">
      <c r="G182" s="63"/>
      <c r="I182" s="26"/>
      <c r="J182" s="26"/>
      <c r="K182" s="26"/>
      <c r="L182" s="26"/>
    </row>
    <row r="184" spans="7:12" x14ac:dyDescent="0.3">
      <c r="I184" s="26"/>
      <c r="J184" s="26"/>
      <c r="K184" s="26"/>
      <c r="L184" s="26"/>
    </row>
    <row r="185" spans="7:12" x14ac:dyDescent="0.3">
      <c r="I185" s="26"/>
      <c r="J185" s="26"/>
      <c r="K185" s="26"/>
      <c r="L185" s="26"/>
    </row>
  </sheetData>
  <autoFilter ref="A6:L169" xr:uid="{00000000-0009-0000-0000-000000000000}">
    <filterColumn colId="9" showButton="0"/>
    <filterColumn colId="10" showButton="0"/>
  </autoFilter>
  <mergeCells count="55">
    <mergeCell ref="E171:F171"/>
    <mergeCell ref="J12:J13"/>
    <mergeCell ref="A169:H169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  <mergeCell ref="J7:L7"/>
    <mergeCell ref="J8:L8"/>
    <mergeCell ref="J9:L9"/>
    <mergeCell ref="A10:L10"/>
    <mergeCell ref="C162:G162"/>
    <mergeCell ref="K12:L12"/>
    <mergeCell ref="C60:G60"/>
    <mergeCell ref="C160:G160"/>
    <mergeCell ref="C93:G93"/>
    <mergeCell ref="C85:G85"/>
    <mergeCell ref="C91:G91"/>
    <mergeCell ref="C99:G99"/>
    <mergeCell ref="C158:G158"/>
    <mergeCell ref="C125:G125"/>
    <mergeCell ref="C127:G127"/>
    <mergeCell ref="C140:G140"/>
    <mergeCell ref="A12:A13"/>
    <mergeCell ref="C12:C13"/>
    <mergeCell ref="D12:D13"/>
    <mergeCell ref="E12:E13"/>
    <mergeCell ref="C164:G164"/>
    <mergeCell ref="C65:G65"/>
    <mergeCell ref="C73:G73"/>
    <mergeCell ref="C166:G166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2026-10-12T09:49:59Z</dcterms:modified>
</cp:coreProperties>
</file>