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8 сесія 14.10.2026\№1213 Зміни бюджет\"/>
    </mc:Choice>
  </mc:AlternateContent>
  <xr:revisionPtr revIDLastSave="0" documentId="13_ncr:1_{53733B65-ED56-491D-B8BF-4D3F38388C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2" r:id="rId1"/>
  </sheets>
  <definedNames>
    <definedName name="_xlnm.Print_Titles" localSheetId="0">'2026'!$13:$17</definedName>
    <definedName name="_xlnm.Print_Area" localSheetId="0">'2026'!$A$1:$P$236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3" i="2" l="1"/>
  <c r="F71" i="2"/>
  <c r="I170" i="2"/>
  <c r="F170" i="2"/>
  <c r="I220" i="2" l="1"/>
  <c r="I178" i="2"/>
  <c r="O177" i="2"/>
  <c r="I172" i="2"/>
  <c r="I166" i="2"/>
  <c r="F122" i="2"/>
  <c r="F114" i="2"/>
  <c r="F83" i="2"/>
  <c r="F98" i="2"/>
  <c r="F81" i="2"/>
  <c r="F75" i="2"/>
  <c r="G74" i="2"/>
  <c r="F74" i="2"/>
  <c r="G61" i="2"/>
  <c r="F61" i="2"/>
  <c r="F52" i="2"/>
  <c r="O41" i="2"/>
  <c r="K41" i="2"/>
  <c r="H23" i="2"/>
  <c r="I192" i="2"/>
  <c r="H164" i="2" l="1"/>
  <c r="F109" i="2"/>
  <c r="F108" i="2"/>
  <c r="G93" i="2" l="1"/>
  <c r="F93" i="2"/>
  <c r="F89" i="2" l="1"/>
  <c r="H61" i="2" l="1"/>
  <c r="F219" i="2"/>
  <c r="F214" i="2"/>
  <c r="F179" i="2" l="1"/>
  <c r="F175" i="2"/>
  <c r="L224" i="2" l="1"/>
  <c r="M224" i="2"/>
  <c r="N224" i="2"/>
  <c r="O226" i="2"/>
  <c r="N226" i="2"/>
  <c r="M226" i="2"/>
  <c r="L226" i="2"/>
  <c r="K226" i="2"/>
  <c r="I226" i="2"/>
  <c r="F220" i="2"/>
  <c r="E216" i="2"/>
  <c r="G214" i="2"/>
  <c r="F211" i="2"/>
  <c r="F210" i="2"/>
  <c r="F207" i="2"/>
  <c r="G202" i="2" l="1"/>
  <c r="F202" i="2"/>
  <c r="I199" i="2"/>
  <c r="O190" i="2"/>
  <c r="K190" i="2"/>
  <c r="G187" i="2"/>
  <c r="F187" i="2"/>
  <c r="I186" i="2"/>
  <c r="I183" i="2"/>
  <c r="I173" i="2"/>
  <c r="E172" i="2"/>
  <c r="P172" i="2" s="1"/>
  <c r="K171" i="2"/>
  <c r="O171" i="2"/>
  <c r="I168" i="2"/>
  <c r="I167" i="2"/>
  <c r="G164" i="2" l="1"/>
  <c r="F164" i="2"/>
  <c r="F158" i="2"/>
  <c r="F156" i="2"/>
  <c r="F155" i="2"/>
  <c r="F154" i="2"/>
  <c r="G152" i="2"/>
  <c r="F152" i="2"/>
  <c r="F149" i="2" l="1"/>
  <c r="F147" i="2"/>
  <c r="G146" i="2"/>
  <c r="F146" i="2"/>
  <c r="I145" i="2"/>
  <c r="G145" i="2"/>
  <c r="F145" i="2"/>
  <c r="G144" i="2"/>
  <c r="F144" i="2"/>
  <c r="G143" i="2"/>
  <c r="F143" i="2"/>
  <c r="G140" i="2"/>
  <c r="F140" i="2"/>
  <c r="G138" i="2"/>
  <c r="F138" i="2"/>
  <c r="F134" i="2"/>
  <c r="G132" i="2"/>
  <c r="F132" i="2"/>
  <c r="F129" i="2"/>
  <c r="F127" i="2"/>
  <c r="I126" i="2"/>
  <c r="F126" i="2"/>
  <c r="F123" i="2"/>
  <c r="F121" i="2" l="1"/>
  <c r="F117" i="2"/>
  <c r="F111" i="2"/>
  <c r="F110" i="2"/>
  <c r="G103" i="2"/>
  <c r="F103" i="2"/>
  <c r="I100" i="2"/>
  <c r="F100" i="2"/>
  <c r="I91" i="2"/>
  <c r="J91" i="2"/>
  <c r="E91" i="2"/>
  <c r="P91" i="2" s="1"/>
  <c r="G85" i="2"/>
  <c r="F85" i="2"/>
  <c r="G80" i="2"/>
  <c r="F80" i="2"/>
  <c r="G79" i="2"/>
  <c r="F79" i="2"/>
  <c r="G78" i="2"/>
  <c r="F78" i="2"/>
  <c r="I74" i="2"/>
  <c r="G71" i="2"/>
  <c r="I63" i="2"/>
  <c r="F58" i="2"/>
  <c r="F54" i="2"/>
  <c r="F48" i="2"/>
  <c r="I47" i="2"/>
  <c r="I43" i="2" l="1"/>
  <c r="F43" i="2"/>
  <c r="F39" i="2"/>
  <c r="F38" i="2"/>
  <c r="F37" i="2"/>
  <c r="F31" i="2"/>
  <c r="F29" i="2"/>
  <c r="I29" i="2"/>
  <c r="I27" i="2"/>
  <c r="F27" i="2"/>
  <c r="F26" i="2"/>
  <c r="F24" i="2"/>
  <c r="G24" i="2"/>
  <c r="G23" i="2"/>
  <c r="F23" i="2"/>
  <c r="G22" i="2"/>
  <c r="F22" i="2"/>
  <c r="G21" i="2"/>
  <c r="F21" i="2"/>
  <c r="F95" i="2" l="1"/>
  <c r="H75" i="2" l="1"/>
  <c r="H231" i="2" l="1"/>
  <c r="K231" i="2"/>
  <c r="M231" i="2"/>
  <c r="N231" i="2"/>
  <c r="O231" i="2"/>
  <c r="E181" i="2" l="1"/>
  <c r="P181" i="2" s="1"/>
  <c r="E68" i="2" l="1"/>
  <c r="P68" i="2" s="1"/>
  <c r="L185" i="2" l="1"/>
  <c r="M185" i="2"/>
  <c r="N185" i="2"/>
  <c r="G185" i="2"/>
  <c r="H185" i="2"/>
  <c r="J195" i="2"/>
  <c r="I185" i="2"/>
  <c r="E195" i="2"/>
  <c r="P195" i="2" s="1"/>
  <c r="F205" i="2" l="1"/>
  <c r="J182" i="2" l="1"/>
  <c r="E182" i="2"/>
  <c r="P182" i="2" s="1"/>
  <c r="I176" i="2"/>
  <c r="J173" i="2"/>
  <c r="E171" i="2"/>
  <c r="E173" i="2"/>
  <c r="F160" i="2"/>
  <c r="F113" i="2"/>
  <c r="F112" i="2"/>
  <c r="F107" i="2"/>
  <c r="F106" i="2"/>
  <c r="H98" i="2"/>
  <c r="F96" i="2"/>
  <c r="J92" i="2"/>
  <c r="P92" i="2" s="1"/>
  <c r="H86" i="2"/>
  <c r="G86" i="2"/>
  <c r="F86" i="2"/>
  <c r="H84" i="2"/>
  <c r="F84" i="2"/>
  <c r="H83" i="2"/>
  <c r="G83" i="2"/>
  <c r="H81" i="2"/>
  <c r="G81" i="2"/>
  <c r="G75" i="2"/>
  <c r="H74" i="2"/>
  <c r="H73" i="2"/>
  <c r="H71" i="2"/>
  <c r="E67" i="2"/>
  <c r="P67" i="2" s="1"/>
  <c r="F63" i="2"/>
  <c r="G231" i="2"/>
  <c r="P173" i="2" l="1"/>
  <c r="G36" i="2"/>
  <c r="G229" i="2" s="1"/>
  <c r="H36" i="2"/>
  <c r="H229" i="2" s="1"/>
  <c r="E40" i="2"/>
  <c r="P40" i="2" s="1"/>
  <c r="F32" i="2"/>
  <c r="G124" i="2" l="1"/>
  <c r="H124" i="2"/>
  <c r="I124" i="2"/>
  <c r="O194" i="2" l="1"/>
  <c r="K194" i="2"/>
  <c r="M163" i="2"/>
  <c r="N163" i="2"/>
  <c r="G163" i="2"/>
  <c r="H163" i="2"/>
  <c r="E183" i="2"/>
  <c r="P183" i="2" s="1"/>
  <c r="F99" i="2"/>
  <c r="E66" i="2"/>
  <c r="P66" i="2" s="1"/>
  <c r="F35" i="2"/>
  <c r="L151" i="2" l="1"/>
  <c r="M151" i="2"/>
  <c r="N151" i="2"/>
  <c r="O151" i="2"/>
  <c r="K151" i="2"/>
  <c r="I151" i="2"/>
  <c r="G151" i="2"/>
  <c r="H151" i="2"/>
  <c r="F215" i="2" l="1"/>
  <c r="E194" i="2"/>
  <c r="E196" i="2"/>
  <c r="P196" i="2" s="1"/>
  <c r="E193" i="2"/>
  <c r="P193" i="2" s="1"/>
  <c r="E192" i="2"/>
  <c r="G228" i="2"/>
  <c r="I228" i="2"/>
  <c r="K228" i="2"/>
  <c r="L228" i="2"/>
  <c r="M228" i="2"/>
  <c r="N228" i="2"/>
  <c r="O228" i="2"/>
  <c r="E159" i="2"/>
  <c r="P159" i="2" s="1"/>
  <c r="F148" i="2"/>
  <c r="I144" i="2"/>
  <c r="E120" i="2"/>
  <c r="P120" i="2" s="1"/>
  <c r="F105" i="2"/>
  <c r="H228" i="2"/>
  <c r="F228" i="2"/>
  <c r="O88" i="2"/>
  <c r="K88" i="2"/>
  <c r="O87" i="2"/>
  <c r="O224" i="2" s="1"/>
  <c r="K87" i="2"/>
  <c r="K224" i="2" s="1"/>
  <c r="O34" i="2"/>
  <c r="K34" i="2"/>
  <c r="P192" i="2" l="1"/>
  <c r="F151" i="2"/>
  <c r="F25" i="2"/>
  <c r="I214" i="2" l="1"/>
  <c r="F201" i="2"/>
  <c r="J210" i="2"/>
  <c r="E210" i="2"/>
  <c r="P210" i="2" l="1"/>
  <c r="F189" i="2"/>
  <c r="F185" i="2"/>
  <c r="H146" i="2" l="1"/>
  <c r="H111" i="2" l="1"/>
  <c r="H110" i="2" l="1"/>
  <c r="H226" i="2" s="1"/>
  <c r="G73" i="2" l="1"/>
  <c r="F36" i="2"/>
  <c r="H21" i="2" l="1"/>
  <c r="G232" i="2" l="1"/>
  <c r="H232" i="2"/>
  <c r="K232" i="2"/>
  <c r="L232" i="2"/>
  <c r="M232" i="2"/>
  <c r="N232" i="2"/>
  <c r="O232" i="2"/>
  <c r="L213" i="2"/>
  <c r="M213" i="2"/>
  <c r="N213" i="2"/>
  <c r="O213" i="2"/>
  <c r="K213" i="2"/>
  <c r="G213" i="2"/>
  <c r="H213" i="2"/>
  <c r="I219" i="2"/>
  <c r="I232" i="2" s="1"/>
  <c r="J218" i="2"/>
  <c r="E218" i="2"/>
  <c r="I209" i="2"/>
  <c r="I213" i="2" l="1"/>
  <c r="P218" i="2"/>
  <c r="F232" i="2"/>
  <c r="F213" i="2"/>
  <c r="O191" i="2" l="1"/>
  <c r="O185" i="2" s="1"/>
  <c r="K191" i="2"/>
  <c r="K185" i="2" s="1"/>
  <c r="G110" i="2" l="1"/>
  <c r="F166" i="2" l="1"/>
  <c r="F229" i="2" s="1"/>
  <c r="I149" i="2" l="1"/>
  <c r="I231" i="2" s="1"/>
  <c r="H145" i="2"/>
  <c r="H137" i="2" s="1"/>
  <c r="E142" i="2"/>
  <c r="P142" i="2" s="1"/>
  <c r="F119" i="2"/>
  <c r="F226" i="2" s="1"/>
  <c r="G119" i="2"/>
  <c r="G111" i="2"/>
  <c r="J87" i="2"/>
  <c r="J88" i="2"/>
  <c r="J89" i="2"/>
  <c r="E87" i="2"/>
  <c r="E88" i="2"/>
  <c r="E89" i="2"/>
  <c r="E90" i="2"/>
  <c r="I37" i="2"/>
  <c r="I36" i="2" s="1"/>
  <c r="P89" i="2" l="1"/>
  <c r="P88" i="2"/>
  <c r="P87" i="2"/>
  <c r="G123" i="2"/>
  <c r="G226" i="2" s="1"/>
  <c r="G225" i="2" l="1"/>
  <c r="H225" i="2"/>
  <c r="K225" i="2"/>
  <c r="L225" i="2"/>
  <c r="M225" i="2"/>
  <c r="N225" i="2"/>
  <c r="O225" i="2"/>
  <c r="L201" i="2" l="1"/>
  <c r="M201" i="2"/>
  <c r="N201" i="2"/>
  <c r="O201" i="2"/>
  <c r="K201" i="2"/>
  <c r="G201" i="2"/>
  <c r="H201" i="2"/>
  <c r="I201" i="2"/>
  <c r="J194" i="2"/>
  <c r="J199" i="2"/>
  <c r="E199" i="2"/>
  <c r="J198" i="2"/>
  <c r="E198" i="2"/>
  <c r="J191" i="2"/>
  <c r="E191" i="2"/>
  <c r="J190" i="2"/>
  <c r="E190" i="2"/>
  <c r="E186" i="2"/>
  <c r="P186" i="2" s="1"/>
  <c r="P199" i="2" l="1"/>
  <c r="P190" i="2"/>
  <c r="P191" i="2"/>
  <c r="P194" i="2"/>
  <c r="P198" i="2"/>
  <c r="L180" i="2" l="1"/>
  <c r="L231" i="2" s="1"/>
  <c r="J177" i="2"/>
  <c r="E177" i="2"/>
  <c r="J176" i="2"/>
  <c r="E176" i="2"/>
  <c r="J171" i="2"/>
  <c r="I169" i="2"/>
  <c r="J167" i="2"/>
  <c r="E167" i="2"/>
  <c r="J166" i="2"/>
  <c r="E166" i="2"/>
  <c r="I163" i="2" l="1"/>
  <c r="I229" i="2"/>
  <c r="L163" i="2"/>
  <c r="P167" i="2"/>
  <c r="P171" i="2"/>
  <c r="P177" i="2"/>
  <c r="P176" i="2"/>
  <c r="P166" i="2"/>
  <c r="J157" i="2" l="1"/>
  <c r="J161" i="2"/>
  <c r="E161" i="2"/>
  <c r="E157" i="2"/>
  <c r="F135" i="2"/>
  <c r="L102" i="2"/>
  <c r="M102" i="2"/>
  <c r="N102" i="2"/>
  <c r="O102" i="2"/>
  <c r="K102" i="2"/>
  <c r="H102" i="2"/>
  <c r="I102" i="2"/>
  <c r="J123" i="2"/>
  <c r="E123" i="2"/>
  <c r="E119" i="2"/>
  <c r="P119" i="2" s="1"/>
  <c r="E121" i="2"/>
  <c r="J117" i="2"/>
  <c r="E117" i="2"/>
  <c r="J107" i="2"/>
  <c r="E107" i="2"/>
  <c r="L70" i="2"/>
  <c r="M70" i="2"/>
  <c r="N70" i="2"/>
  <c r="O70" i="2"/>
  <c r="K70" i="2"/>
  <c r="J93" i="2"/>
  <c r="J94" i="2"/>
  <c r="J95" i="2"/>
  <c r="J96" i="2"/>
  <c r="E93" i="2"/>
  <c r="E94" i="2"/>
  <c r="E95" i="2"/>
  <c r="P161" i="2" l="1"/>
  <c r="P95" i="2"/>
  <c r="P117" i="2"/>
  <c r="P93" i="2"/>
  <c r="P157" i="2"/>
  <c r="P123" i="2"/>
  <c r="G102" i="2"/>
  <c r="P107" i="2"/>
  <c r="P94" i="2"/>
  <c r="J90" i="2"/>
  <c r="J85" i="2"/>
  <c r="E85" i="2"/>
  <c r="G76" i="2"/>
  <c r="G224" i="2" s="1"/>
  <c r="H76" i="2"/>
  <c r="H224" i="2" s="1"/>
  <c r="I76" i="2"/>
  <c r="I224" i="2" s="1"/>
  <c r="F76" i="2"/>
  <c r="F224" i="2" s="1"/>
  <c r="E79" i="2"/>
  <c r="P79" i="2" s="1"/>
  <c r="F70" i="2" l="1"/>
  <c r="I70" i="2"/>
  <c r="H70" i="2"/>
  <c r="G70" i="2"/>
  <c r="P90" i="2"/>
  <c r="P85" i="2"/>
  <c r="E70" i="2" l="1"/>
  <c r="J64" i="2"/>
  <c r="E64" i="2"/>
  <c r="F55" i="2"/>
  <c r="O52" i="2"/>
  <c r="K52" i="2"/>
  <c r="J49" i="2"/>
  <c r="J50" i="2"/>
  <c r="E50" i="2"/>
  <c r="E34" i="2"/>
  <c r="J34" i="2"/>
  <c r="F33" i="2"/>
  <c r="I225" i="2"/>
  <c r="P64" i="2" l="1"/>
  <c r="P50" i="2"/>
  <c r="P34" i="2"/>
  <c r="F137" i="2" l="1"/>
  <c r="J203" i="2" l="1"/>
  <c r="E203" i="2"/>
  <c r="J189" i="2"/>
  <c r="E189" i="2"/>
  <c r="J188" i="2"/>
  <c r="E188" i="2"/>
  <c r="J153" i="2"/>
  <c r="E153" i="2"/>
  <c r="N137" i="2"/>
  <c r="O137" i="2"/>
  <c r="K137" i="2"/>
  <c r="G137" i="2"/>
  <c r="I137" i="2"/>
  <c r="J149" i="2"/>
  <c r="E149" i="2"/>
  <c r="J139" i="2"/>
  <c r="E139" i="2"/>
  <c r="J133" i="2"/>
  <c r="E133" i="2"/>
  <c r="F128" i="2"/>
  <c r="E128" i="2" s="1"/>
  <c r="E129" i="2"/>
  <c r="P129" i="2" s="1"/>
  <c r="J128" i="2"/>
  <c r="J104" i="2"/>
  <c r="E104" i="2"/>
  <c r="P203" i="2" l="1"/>
  <c r="P104" i="2"/>
  <c r="P189" i="2"/>
  <c r="P188" i="2"/>
  <c r="P139" i="2"/>
  <c r="P153" i="2"/>
  <c r="P149" i="2"/>
  <c r="P133" i="2"/>
  <c r="P128" i="2"/>
  <c r="J72" i="2"/>
  <c r="E72" i="2"/>
  <c r="J52" i="2"/>
  <c r="E52" i="2"/>
  <c r="F53" i="2"/>
  <c r="F231" i="2" s="1"/>
  <c r="E60" i="2"/>
  <c r="P60" i="2" s="1"/>
  <c r="E58" i="2"/>
  <c r="P58" i="2" s="1"/>
  <c r="E57" i="2"/>
  <c r="P57" i="2" s="1"/>
  <c r="E56" i="2"/>
  <c r="P56" i="2" s="1"/>
  <c r="E49" i="2"/>
  <c r="P49" i="2" s="1"/>
  <c r="E22" i="2"/>
  <c r="P52" i="2" l="1"/>
  <c r="P72" i="2"/>
  <c r="E178" i="2" l="1"/>
  <c r="O175" i="2"/>
  <c r="O163" i="2" s="1"/>
  <c r="K175" i="2"/>
  <c r="K163" i="2" s="1"/>
  <c r="E175" i="2"/>
  <c r="J170" i="2"/>
  <c r="E145" i="2"/>
  <c r="E135" i="2"/>
  <c r="E132" i="2"/>
  <c r="E122" i="2"/>
  <c r="E116" i="2"/>
  <c r="E112" i="2"/>
  <c r="J100" i="2"/>
  <c r="E100" i="2"/>
  <c r="E99" i="2"/>
  <c r="E97" i="2"/>
  <c r="E84" i="2"/>
  <c r="E82" i="2"/>
  <c r="E81" i="2"/>
  <c r="J75" i="2"/>
  <c r="E75" i="2"/>
  <c r="J74" i="2"/>
  <c r="E74" i="2"/>
  <c r="E71" i="2"/>
  <c r="E62" i="2"/>
  <c r="E61" i="2"/>
  <c r="E59" i="2"/>
  <c r="P59" i="2" s="1"/>
  <c r="E43" i="2"/>
  <c r="E32" i="2"/>
  <c r="P32" i="2" s="1"/>
  <c r="E29" i="2"/>
  <c r="E21" i="2"/>
  <c r="N227" i="2"/>
  <c r="I227" i="2"/>
  <c r="J217" i="2"/>
  <c r="J232" i="2" s="1"/>
  <c r="E217" i="2"/>
  <c r="J216" i="2"/>
  <c r="J215" i="2"/>
  <c r="E215" i="2"/>
  <c r="J214" i="2"/>
  <c r="E214" i="2"/>
  <c r="J211" i="2"/>
  <c r="E211" i="2"/>
  <c r="J209" i="2"/>
  <c r="E209" i="2"/>
  <c r="J208" i="2"/>
  <c r="E208" i="2"/>
  <c r="J207" i="2"/>
  <c r="E207" i="2"/>
  <c r="J206" i="2"/>
  <c r="E206" i="2"/>
  <c r="J205" i="2"/>
  <c r="E205" i="2"/>
  <c r="J204" i="2"/>
  <c r="E204" i="2"/>
  <c r="J202" i="2"/>
  <c r="G200" i="2"/>
  <c r="O200" i="2"/>
  <c r="N200" i="2"/>
  <c r="M200" i="2"/>
  <c r="L200" i="2"/>
  <c r="K200" i="2"/>
  <c r="H200" i="2"/>
  <c r="J197" i="2"/>
  <c r="E197" i="2"/>
  <c r="J187" i="2"/>
  <c r="G184" i="2"/>
  <c r="E187" i="2"/>
  <c r="N184" i="2"/>
  <c r="M184" i="2"/>
  <c r="L184" i="2"/>
  <c r="I184" i="2"/>
  <c r="H184" i="2"/>
  <c r="J180" i="2"/>
  <c r="E180" i="2"/>
  <c r="J179" i="2"/>
  <c r="E179" i="2"/>
  <c r="J178" i="2"/>
  <c r="J175" i="2"/>
  <c r="J174" i="2"/>
  <c r="E174" i="2"/>
  <c r="E170" i="2"/>
  <c r="J169" i="2"/>
  <c r="E169" i="2"/>
  <c r="J168" i="2"/>
  <c r="F163" i="2"/>
  <c r="J165" i="2"/>
  <c r="E165" i="2"/>
  <c r="J164" i="2"/>
  <c r="E164" i="2"/>
  <c r="N162" i="2"/>
  <c r="M162" i="2"/>
  <c r="L162" i="2"/>
  <c r="J160" i="2"/>
  <c r="E160" i="2"/>
  <c r="J158" i="2"/>
  <c r="E158" i="2"/>
  <c r="J156" i="2"/>
  <c r="E156" i="2"/>
  <c r="J155" i="2"/>
  <c r="E155" i="2"/>
  <c r="J154" i="2"/>
  <c r="H150" i="2"/>
  <c r="J152" i="2"/>
  <c r="E152" i="2"/>
  <c r="O150" i="2"/>
  <c r="N150" i="2"/>
  <c r="M150" i="2"/>
  <c r="L150" i="2"/>
  <c r="K150" i="2"/>
  <c r="I150" i="2"/>
  <c r="J148" i="2"/>
  <c r="E148" i="2"/>
  <c r="J147" i="2"/>
  <c r="E147" i="2"/>
  <c r="J146" i="2"/>
  <c r="E146" i="2"/>
  <c r="O227" i="2"/>
  <c r="M145" i="2"/>
  <c r="K227" i="2"/>
  <c r="J144" i="2"/>
  <c r="E144" i="2"/>
  <c r="L143" i="2"/>
  <c r="E143" i="2"/>
  <c r="J141" i="2"/>
  <c r="E141" i="2"/>
  <c r="J140" i="2"/>
  <c r="J138" i="2"/>
  <c r="E138" i="2"/>
  <c r="N136" i="2"/>
  <c r="I136" i="2"/>
  <c r="J135" i="2"/>
  <c r="J134" i="2"/>
  <c r="E134" i="2"/>
  <c r="J132" i="2"/>
  <c r="G131" i="2"/>
  <c r="G130" i="2" s="1"/>
  <c r="O131" i="2"/>
  <c r="O130" i="2" s="1"/>
  <c r="N131" i="2"/>
  <c r="N130" i="2" s="1"/>
  <c r="M131" i="2"/>
  <c r="M130" i="2" s="1"/>
  <c r="L131" i="2"/>
  <c r="K131" i="2"/>
  <c r="K130" i="2" s="1"/>
  <c r="I131" i="2"/>
  <c r="I130" i="2" s="1"/>
  <c r="H131" i="2"/>
  <c r="H130" i="2" s="1"/>
  <c r="E127" i="2"/>
  <c r="P127" i="2" s="1"/>
  <c r="F124" i="2"/>
  <c r="E125" i="2"/>
  <c r="P125" i="2" s="1"/>
  <c r="J124" i="2"/>
  <c r="J122" i="2"/>
  <c r="J121" i="2"/>
  <c r="J118" i="2"/>
  <c r="E118" i="2"/>
  <c r="J116" i="2"/>
  <c r="J115" i="2"/>
  <c r="E115" i="2"/>
  <c r="J114" i="2"/>
  <c r="E114" i="2"/>
  <c r="J113" i="2"/>
  <c r="E113" i="2"/>
  <c r="J112" i="2"/>
  <c r="J111" i="2"/>
  <c r="E111" i="2"/>
  <c r="J110" i="2"/>
  <c r="E110" i="2"/>
  <c r="J109" i="2"/>
  <c r="E109" i="2"/>
  <c r="J108" i="2"/>
  <c r="E108" i="2"/>
  <c r="J106" i="2"/>
  <c r="E106" i="2"/>
  <c r="J105" i="2"/>
  <c r="J103" i="2"/>
  <c r="E103" i="2"/>
  <c r="O101" i="2"/>
  <c r="N101" i="2"/>
  <c r="M101" i="2"/>
  <c r="K101" i="2"/>
  <c r="I101" i="2"/>
  <c r="J99" i="2"/>
  <c r="J98" i="2"/>
  <c r="J97" i="2"/>
  <c r="E96" i="2"/>
  <c r="J86" i="2"/>
  <c r="E86" i="2"/>
  <c r="J84" i="2"/>
  <c r="J83" i="2"/>
  <c r="E83" i="2"/>
  <c r="J82" i="2"/>
  <c r="J81" i="2"/>
  <c r="J80" i="2"/>
  <c r="E80" i="2"/>
  <c r="E78" i="2"/>
  <c r="P78" i="2" s="1"/>
  <c r="J76" i="2"/>
  <c r="J71" i="2"/>
  <c r="N69" i="2"/>
  <c r="M69" i="2"/>
  <c r="I69" i="2"/>
  <c r="E65" i="2"/>
  <c r="J63" i="2"/>
  <c r="E63" i="2"/>
  <c r="J62" i="2"/>
  <c r="J61" i="2"/>
  <c r="E55" i="2"/>
  <c r="P55" i="2" s="1"/>
  <c r="J51" i="2"/>
  <c r="E51" i="2"/>
  <c r="J48" i="2"/>
  <c r="E48" i="2"/>
  <c r="J47" i="2"/>
  <c r="E47" i="2"/>
  <c r="J46" i="2"/>
  <c r="E46" i="2"/>
  <c r="E45" i="2"/>
  <c r="P45" i="2" s="1"/>
  <c r="J44" i="2"/>
  <c r="E44" i="2"/>
  <c r="O42" i="2"/>
  <c r="O230" i="2" s="1"/>
  <c r="K42" i="2"/>
  <c r="K230" i="2" s="1"/>
  <c r="N42" i="2"/>
  <c r="N230" i="2" s="1"/>
  <c r="M42" i="2"/>
  <c r="M230" i="2" s="1"/>
  <c r="L42" i="2"/>
  <c r="L230" i="2" s="1"/>
  <c r="H42" i="2"/>
  <c r="H230" i="2" s="1"/>
  <c r="G42" i="2"/>
  <c r="G230" i="2" s="1"/>
  <c r="E41" i="2"/>
  <c r="J39" i="2"/>
  <c r="E39" i="2"/>
  <c r="J38" i="2"/>
  <c r="E38" i="2"/>
  <c r="J37" i="2"/>
  <c r="E37" i="2"/>
  <c r="O36" i="2"/>
  <c r="O229" i="2" s="1"/>
  <c r="N36" i="2"/>
  <c r="N229" i="2" s="1"/>
  <c r="M36" i="2"/>
  <c r="M229" i="2" s="1"/>
  <c r="L36" i="2"/>
  <c r="L229" i="2" s="1"/>
  <c r="K36" i="2"/>
  <c r="K229" i="2" s="1"/>
  <c r="J35" i="2"/>
  <c r="J226" i="2" s="1"/>
  <c r="E33" i="2"/>
  <c r="P33" i="2" s="1"/>
  <c r="E31" i="2"/>
  <c r="P31" i="2" s="1"/>
  <c r="J30" i="2"/>
  <c r="J29" i="2"/>
  <c r="J28" i="2"/>
  <c r="J27" i="2"/>
  <c r="E27" i="2"/>
  <c r="J26" i="2"/>
  <c r="E26" i="2"/>
  <c r="J25" i="2"/>
  <c r="E25" i="2"/>
  <c r="J24" i="2"/>
  <c r="E24" i="2"/>
  <c r="J23" i="2"/>
  <c r="E23" i="2"/>
  <c r="J22" i="2"/>
  <c r="O20" i="2"/>
  <c r="O19" i="2" s="1"/>
  <c r="K20" i="2"/>
  <c r="K19" i="2" s="1"/>
  <c r="N20" i="2"/>
  <c r="N19" i="2" s="1"/>
  <c r="M20" i="2"/>
  <c r="M19" i="2" s="1"/>
  <c r="L20" i="2"/>
  <c r="L19" i="2" s="1"/>
  <c r="I20" i="2"/>
  <c r="M223" i="2" l="1"/>
  <c r="K223" i="2"/>
  <c r="O223" i="2"/>
  <c r="N223" i="2"/>
  <c r="N18" i="2"/>
  <c r="I223" i="2"/>
  <c r="L223" i="2"/>
  <c r="F102" i="2"/>
  <c r="J228" i="2"/>
  <c r="J225" i="2"/>
  <c r="P174" i="2"/>
  <c r="K18" i="2"/>
  <c r="L18" i="2"/>
  <c r="M18" i="2"/>
  <c r="O18" i="2"/>
  <c r="E35" i="2"/>
  <c r="J41" i="2"/>
  <c r="E168" i="2"/>
  <c r="P168" i="2" s="1"/>
  <c r="L227" i="2"/>
  <c r="L137" i="2"/>
  <c r="M227" i="2"/>
  <c r="M137" i="2"/>
  <c r="M136" i="2" s="1"/>
  <c r="E124" i="2"/>
  <c r="P124" i="2" s="1"/>
  <c r="P61" i="2"/>
  <c r="L212" i="2"/>
  <c r="P108" i="2"/>
  <c r="P217" i="2"/>
  <c r="J131" i="2"/>
  <c r="P197" i="2"/>
  <c r="I200" i="2"/>
  <c r="J21" i="2"/>
  <c r="P21" i="2" s="1"/>
  <c r="E151" i="2"/>
  <c r="L130" i="2"/>
  <c r="J130" i="2" s="1"/>
  <c r="H69" i="2"/>
  <c r="F131" i="2"/>
  <c r="E131" i="2" s="1"/>
  <c r="P180" i="2"/>
  <c r="J201" i="2"/>
  <c r="G20" i="2"/>
  <c r="G19" i="2" s="1"/>
  <c r="K162" i="2"/>
  <c r="P113" i="2"/>
  <c r="G162" i="2"/>
  <c r="P187" i="2"/>
  <c r="P204" i="2"/>
  <c r="P208" i="2"/>
  <c r="P103" i="2"/>
  <c r="G136" i="2"/>
  <c r="H162" i="2"/>
  <c r="F162" i="2"/>
  <c r="P215" i="2"/>
  <c r="E220" i="2"/>
  <c r="P147" i="2"/>
  <c r="P206" i="2"/>
  <c r="P26" i="2"/>
  <c r="P84" i="2"/>
  <c r="P44" i="2"/>
  <c r="P165" i="2"/>
  <c r="P209" i="2"/>
  <c r="P111" i="2"/>
  <c r="P118" i="2"/>
  <c r="G150" i="2"/>
  <c r="P179" i="2"/>
  <c r="P71" i="2"/>
  <c r="P122" i="2"/>
  <c r="P24" i="2"/>
  <c r="P22" i="2"/>
  <c r="P37" i="2"/>
  <c r="P48" i="2"/>
  <c r="P132" i="2"/>
  <c r="P82" i="2"/>
  <c r="P96" i="2"/>
  <c r="P109" i="2"/>
  <c r="P144" i="2"/>
  <c r="P155" i="2"/>
  <c r="P160" i="2"/>
  <c r="P146" i="2"/>
  <c r="P63" i="2"/>
  <c r="P38" i="2"/>
  <c r="P23" i="2"/>
  <c r="P46" i="2"/>
  <c r="P110" i="2"/>
  <c r="P141" i="2"/>
  <c r="P152" i="2"/>
  <c r="H20" i="2"/>
  <c r="H19" i="2" s="1"/>
  <c r="P138" i="2"/>
  <c r="P207" i="2"/>
  <c r="J20" i="2"/>
  <c r="J223" i="2" s="1"/>
  <c r="P81" i="2"/>
  <c r="P114" i="2"/>
  <c r="E154" i="2"/>
  <c r="J150" i="2"/>
  <c r="P39" i="2"/>
  <c r="P80" i="2"/>
  <c r="P86" i="2"/>
  <c r="P99" i="2"/>
  <c r="G101" i="2"/>
  <c r="P106" i="2"/>
  <c r="P115" i="2"/>
  <c r="H227" i="2"/>
  <c r="P175" i="2"/>
  <c r="J200" i="2"/>
  <c r="P211" i="2"/>
  <c r="F30" i="2"/>
  <c r="P47" i="2"/>
  <c r="P62" i="2"/>
  <c r="P83" i="2"/>
  <c r="E98" i="2"/>
  <c r="E228" i="2" s="1"/>
  <c r="P112" i="2"/>
  <c r="P134" i="2"/>
  <c r="K136" i="2"/>
  <c r="H136" i="2"/>
  <c r="P205" i="2"/>
  <c r="P25" i="2"/>
  <c r="P116" i="2"/>
  <c r="E126" i="2"/>
  <c r="P126" i="2" s="1"/>
  <c r="J145" i="2"/>
  <c r="P145" i="2" s="1"/>
  <c r="P51" i="2"/>
  <c r="P158" i="2"/>
  <c r="P164" i="2"/>
  <c r="K184" i="2"/>
  <c r="P216" i="2"/>
  <c r="P178" i="2"/>
  <c r="P121" i="2"/>
  <c r="O136" i="2"/>
  <c r="P148" i="2"/>
  <c r="P170" i="2"/>
  <c r="P135" i="2"/>
  <c r="P100" i="2"/>
  <c r="P75" i="2"/>
  <c r="P74" i="2"/>
  <c r="E227" i="2"/>
  <c r="I42" i="2"/>
  <c r="I230" i="2" s="1"/>
  <c r="N212" i="2"/>
  <c r="E28" i="2"/>
  <c r="P28" i="2" s="1"/>
  <c r="J36" i="2"/>
  <c r="J229" i="2" s="1"/>
  <c r="J42" i="2"/>
  <c r="J65" i="2"/>
  <c r="J231" i="2" s="1"/>
  <c r="H101" i="2"/>
  <c r="P169" i="2"/>
  <c r="I212" i="2"/>
  <c r="P29" i="2"/>
  <c r="E73" i="2"/>
  <c r="E140" i="2"/>
  <c r="P140" i="2" s="1"/>
  <c r="G212" i="2"/>
  <c r="F227" i="2"/>
  <c r="F20" i="2"/>
  <c r="J102" i="2"/>
  <c r="L101" i="2"/>
  <c r="J101" i="2" s="1"/>
  <c r="E105" i="2"/>
  <c r="P105" i="2" s="1"/>
  <c r="P214" i="2"/>
  <c r="P27" i="2"/>
  <c r="G227" i="2"/>
  <c r="J151" i="2"/>
  <c r="H212" i="2"/>
  <c r="F42" i="2"/>
  <c r="F230" i="2" s="1"/>
  <c r="K69" i="2"/>
  <c r="P97" i="2"/>
  <c r="E202" i="2"/>
  <c r="P202" i="2" s="1"/>
  <c r="E54" i="2"/>
  <c r="P54" i="2" s="1"/>
  <c r="J73" i="2"/>
  <c r="J224" i="2" s="1"/>
  <c r="O69" i="2"/>
  <c r="J143" i="2"/>
  <c r="P156" i="2"/>
  <c r="J43" i="2"/>
  <c r="P43" i="2" s="1"/>
  <c r="M212" i="2"/>
  <c r="E226" i="2" l="1"/>
  <c r="F19" i="2"/>
  <c r="J230" i="2"/>
  <c r="I19" i="2"/>
  <c r="G223" i="2"/>
  <c r="H223" i="2"/>
  <c r="F223" i="2"/>
  <c r="F225" i="2"/>
  <c r="P226" i="2"/>
  <c r="P41" i="2"/>
  <c r="P35" i="2"/>
  <c r="I18" i="2"/>
  <c r="N233" i="2"/>
  <c r="G18" i="2"/>
  <c r="H18" i="2"/>
  <c r="H221" i="2" s="1"/>
  <c r="E30" i="2"/>
  <c r="P30" i="2" s="1"/>
  <c r="E36" i="2"/>
  <c r="E229" i="2" s="1"/>
  <c r="G69" i="2"/>
  <c r="E76" i="2"/>
  <c r="F69" i="2"/>
  <c r="H233" i="2"/>
  <c r="M233" i="2"/>
  <c r="F130" i="2"/>
  <c r="E130" i="2" s="1"/>
  <c r="P130" i="2" s="1"/>
  <c r="M221" i="2"/>
  <c r="P154" i="2"/>
  <c r="P228" i="2"/>
  <c r="P131" i="2"/>
  <c r="K212" i="2"/>
  <c r="K221" i="2" s="1"/>
  <c r="E163" i="2"/>
  <c r="F150" i="2"/>
  <c r="E150" i="2" s="1"/>
  <c r="P150" i="2" s="1"/>
  <c r="P220" i="2"/>
  <c r="O233" i="2"/>
  <c r="L233" i="2"/>
  <c r="I162" i="2"/>
  <c r="E162" i="2" s="1"/>
  <c r="N221" i="2"/>
  <c r="E53" i="2"/>
  <c r="E231" i="2" s="1"/>
  <c r="P65" i="2"/>
  <c r="P151" i="2"/>
  <c r="P98" i="2"/>
  <c r="J227" i="2"/>
  <c r="P227" i="2" s="1"/>
  <c r="O212" i="2"/>
  <c r="J212" i="2" s="1"/>
  <c r="E201" i="2"/>
  <c r="P201" i="2" s="1"/>
  <c r="F200" i="2"/>
  <c r="E200" i="2" s="1"/>
  <c r="P200" i="2" s="1"/>
  <c r="O184" i="2"/>
  <c r="J184" i="2" s="1"/>
  <c r="J185" i="2"/>
  <c r="E20" i="2"/>
  <c r="E223" i="2" s="1"/>
  <c r="E219" i="2"/>
  <c r="E232" i="2" s="1"/>
  <c r="J19" i="2"/>
  <c r="E42" i="2"/>
  <c r="E230" i="2" s="1"/>
  <c r="P73" i="2"/>
  <c r="F184" i="2"/>
  <c r="E185" i="2"/>
  <c r="F101" i="2"/>
  <c r="E101" i="2" s="1"/>
  <c r="P101" i="2" s="1"/>
  <c r="E102" i="2"/>
  <c r="P102" i="2" s="1"/>
  <c r="I233" i="2"/>
  <c r="J18" i="2"/>
  <c r="L69" i="2"/>
  <c r="J69" i="2" s="1"/>
  <c r="J70" i="2"/>
  <c r="J163" i="2"/>
  <c r="O162" i="2"/>
  <c r="J162" i="2" s="1"/>
  <c r="P143" i="2"/>
  <c r="J137" i="2"/>
  <c r="L136" i="2"/>
  <c r="J136" i="2" s="1"/>
  <c r="K233" i="2"/>
  <c r="F136" i="2"/>
  <c r="E136" i="2" s="1"/>
  <c r="E137" i="2"/>
  <c r="P76" i="2" l="1"/>
  <c r="E224" i="2"/>
  <c r="E69" i="2"/>
  <c r="P69" i="2" s="1"/>
  <c r="E184" i="2"/>
  <c r="P224" i="2"/>
  <c r="E225" i="2"/>
  <c r="P225" i="2" s="1"/>
  <c r="N234" i="2"/>
  <c r="K234" i="2"/>
  <c r="M234" i="2"/>
  <c r="H234" i="2"/>
  <c r="G221" i="2"/>
  <c r="P36" i="2"/>
  <c r="G233" i="2"/>
  <c r="P229" i="2"/>
  <c r="I221" i="2"/>
  <c r="J233" i="2"/>
  <c r="P70" i="2"/>
  <c r="P231" i="2"/>
  <c r="P53" i="2"/>
  <c r="P136" i="2"/>
  <c r="J213" i="2"/>
  <c r="L221" i="2"/>
  <c r="P162" i="2"/>
  <c r="P163" i="2"/>
  <c r="E213" i="2"/>
  <c r="F212" i="2"/>
  <c r="P137" i="2"/>
  <c r="O221" i="2"/>
  <c r="F233" i="2"/>
  <c r="P184" i="2"/>
  <c r="P42" i="2"/>
  <c r="P230" i="2"/>
  <c r="E19" i="2"/>
  <c r="P19" i="2" s="1"/>
  <c r="F18" i="2"/>
  <c r="P185" i="2"/>
  <c r="P219" i="2"/>
  <c r="P232" i="2"/>
  <c r="P20" i="2"/>
  <c r="O234" i="2" l="1"/>
  <c r="L234" i="2"/>
  <c r="I234" i="2"/>
  <c r="G234" i="2"/>
  <c r="J221" i="2"/>
  <c r="F221" i="2"/>
  <c r="E18" i="2"/>
  <c r="P223" i="2"/>
  <c r="E233" i="2"/>
  <c r="P213" i="2"/>
  <c r="E212" i="2"/>
  <c r="P212" i="2" s="1"/>
  <c r="J234" i="2" l="1"/>
  <c r="F234" i="2"/>
  <c r="P233" i="2"/>
  <c r="E221" i="2"/>
  <c r="P18" i="2"/>
  <c r="E234" i="2" l="1"/>
  <c r="P221" i="2"/>
  <c r="P234" i="2" l="1"/>
</calcChain>
</file>

<file path=xl/sharedStrings.xml><?xml version="1.0" encoding="utf-8"?>
<sst xmlns="http://schemas.openxmlformats.org/spreadsheetml/2006/main" count="717" uniqueCount="433">
  <si>
    <t>РОЗПОДІЛ</t>
  </si>
  <si>
    <t>1558900000</t>
  </si>
  <si>
    <t>(код бюджету)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</si>
  <si>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</si>
  <si>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</si>
  <si>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</si>
  <si>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</si>
  <si>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</si>
  <si>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</si>
  <si>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</si>
  <si>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</si>
  <si>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</si>
  <si>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</si>
  <si>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</si>
  <si>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</si>
  <si>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</si>
  <si>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</si>
  <si>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0200000</t>
  </si>
  <si>
    <t/>
  </si>
  <si>
    <t>Виконавчий комiтет Чорноморської мiської ради Одеського району Одеської областi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</si>
  <si>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</si>
  <si>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</si>
  <si>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</si>
  <si>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</si>
  <si>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</si>
  <si>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0210170</t>
  </si>
  <si>
    <t>0170</t>
  </si>
  <si>
    <t>0131</t>
  </si>
  <si>
    <t>Підвищення кваліфікації депутатів місцевих рад та посадових осіб місцевого самоврядування</t>
  </si>
  <si>
    <t>0210180</t>
  </si>
  <si>
    <t>0180</t>
  </si>
  <si>
    <t>0133</t>
  </si>
  <si>
    <t>Інша діяльність у сфері державного управління</t>
  </si>
  <si>
    <t>0212010</t>
  </si>
  <si>
    <t>2010</t>
  </si>
  <si>
    <t>0731</t>
  </si>
  <si>
    <t>Багатопрофільна стаціонарна медична допомога населенню</t>
  </si>
  <si>
    <t>0212100</t>
  </si>
  <si>
    <t>2100</t>
  </si>
  <si>
    <t>0722</t>
  </si>
  <si>
    <t>Стоматологічна допомога населенню</t>
  </si>
  <si>
    <t>0212111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</si>
  <si>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</si>
  <si>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</si>
  <si>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</si>
  <si>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0212152</t>
  </si>
  <si>
    <t>2152</t>
  </si>
  <si>
    <t>0763</t>
  </si>
  <si>
    <t>Інші програми та заходи у сфері охорони здоров`я</t>
  </si>
  <si>
    <t>0213242</t>
  </si>
  <si>
    <t>3242</t>
  </si>
  <si>
    <t>1090</t>
  </si>
  <si>
    <t>0216030</t>
  </si>
  <si>
    <t>6030</t>
  </si>
  <si>
    <t>0620</t>
  </si>
  <si>
    <t>Організація благоустрою населених пунктів</t>
  </si>
  <si>
    <t>0217680</t>
  </si>
  <si>
    <t>7680</t>
  </si>
  <si>
    <t>0490</t>
  </si>
  <si>
    <t>Членські внески до асоціацій органів місцевого самоврядування</t>
  </si>
  <si>
    <t>0218210</t>
  </si>
  <si>
    <t>8210</t>
  </si>
  <si>
    <t>0380</t>
  </si>
  <si>
    <t>Муніципальні формування з охорони громадського порядку</t>
  </si>
  <si>
    <t>0218220</t>
  </si>
  <si>
    <t>8220</t>
  </si>
  <si>
    <t>Заходи та роботи з мобілізаційної підготовки місцевого значення</t>
  </si>
  <si>
    <t>0218230</t>
  </si>
  <si>
    <t>8230</t>
  </si>
  <si>
    <t>Інші заходи громадського порядку та безпеки</t>
  </si>
  <si>
    <t>0600000</t>
  </si>
  <si>
    <t>Управління освіти Чорноморської мiської ради Одеського району Одеської областi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</si>
  <si>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</si>
  <si>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</si>
  <si>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</si>
  <si>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</si>
  <si>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</si>
  <si>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</si>
  <si>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</si>
  <si>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</si>
  <si>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</si>
  <si>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</si>
  <si>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</si>
  <si>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</si>
  <si>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</si>
  <si>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</si>
  <si>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</si>
  <si>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коштів місцевого бюджету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</si>
  <si>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</si>
  <si>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</si>
  <si>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</si>
  <si>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0611032</t>
  </si>
  <si>
    <t>1032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</si>
  <si>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освітньої субвенції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</si>
  <si>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</si>
  <si>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</si>
  <si>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</si>
  <si>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</si>
  <si>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0611120</t>
  </si>
  <si>
    <t>1120</t>
  </si>
  <si>
    <t>0950</t>
  </si>
  <si>
    <t>Підвищення кваліфікації, перепідготовка кадрів закладами післядипломної освіти</t>
  </si>
  <si>
    <t>0611141</t>
  </si>
  <si>
    <t>1141</t>
  </si>
  <si>
    <t>0990</t>
  </si>
  <si>
    <t>Забезпечення діяльності інших закладів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</si>
  <si>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</si>
  <si>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</si>
  <si>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</si>
  <si>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</si>
  <si>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</si>
  <si>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</si>
  <si>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</si>
  <si>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</si>
  <si>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</si>
  <si>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</si>
  <si>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0613242</t>
  </si>
  <si>
    <t>0615031</t>
  </si>
  <si>
    <t>5031</t>
  </si>
  <si>
    <t>0810</t>
  </si>
  <si>
    <t>0800000</t>
  </si>
  <si>
    <t>Управлiння соцiальної полiтики Чорноморської мiської ради Одеського району Одеської областi</t>
  </si>
  <si>
    <t>0810000</t>
  </si>
  <si>
    <t>0810160</t>
  </si>
  <si>
    <t>0810180</t>
  </si>
  <si>
    <t>1030</t>
  </si>
  <si>
    <t>0813032</t>
  </si>
  <si>
    <t>3032</t>
  </si>
  <si>
    <t>Надання пільг окремим категоріям громадян з оплати послуг зв`язку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</si>
  <si>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</si>
  <si>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</si>
  <si>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</si>
  <si>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0813090</t>
  </si>
  <si>
    <t>3090</t>
  </si>
  <si>
    <t>Видатки на поховання учасників бойових дій та осіб з інвалідністю внаслідок війни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</si>
  <si>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</si>
  <si>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</si>
  <si>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</si>
  <si>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</si>
  <si>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0813121</t>
  </si>
  <si>
    <t>3121</t>
  </si>
  <si>
    <t>0813123</t>
  </si>
  <si>
    <t>3123</t>
  </si>
  <si>
    <t>Заходи державної політики з питань сім`ї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</si>
  <si>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</si>
  <si>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</si>
  <si>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</si>
  <si>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0813171</t>
  </si>
  <si>
    <t>3171</t>
  </si>
  <si>
    <t>Компенсаційні виплати особам з інвалідністю на бензин, ремонт, технічне обслуговування автомобілів, мотоколясок і на транспортне обслуговування</t>
  </si>
  <si>
    <t>0813180</t>
  </si>
  <si>
    <t>3180</t>
  </si>
  <si>
    <t>1060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</si>
  <si>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</si>
  <si>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</si>
  <si>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</si>
  <si>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</si>
  <si>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0813230</t>
  </si>
  <si>
    <t>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</si>
  <si>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</si>
  <si>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0813242</t>
  </si>
  <si>
    <t>0900000</t>
  </si>
  <si>
    <t>Служба у справах дітей Чорноморської міської ради Одеського району Одеської області</t>
  </si>
  <si>
    <t>0910000</t>
  </si>
  <si>
    <t>0910160</t>
  </si>
  <si>
    <t>0913112</t>
  </si>
  <si>
    <t>3112</t>
  </si>
  <si>
    <t>Заходи державної політики з питань дітей та їх соціального захисту</t>
  </si>
  <si>
    <t>1000000</t>
  </si>
  <si>
    <t>Вiддiл культури Чорноморської мiської ради Одеського району Одеської областi</t>
  </si>
  <si>
    <t>1010000</t>
  </si>
  <si>
    <t>1010160</t>
  </si>
  <si>
    <t>1011080</t>
  </si>
  <si>
    <t>1080</t>
  </si>
  <si>
    <t>Надання спеціалізованої освіти мистецькими школами</t>
  </si>
  <si>
    <t>1013140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</si>
  <si>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</si>
  <si>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</si>
  <si>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</si>
  <si>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</si>
  <si>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</si>
  <si>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</si>
  <si>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</si>
  <si>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</si>
  <si>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</si>
  <si>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</si>
  <si>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</si>
  <si>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1014081</t>
  </si>
  <si>
    <t>4081</t>
  </si>
  <si>
    <t>0829</t>
  </si>
  <si>
    <t>Забезпечення діяльності інших закладів в галузі культури і мистецтва</t>
  </si>
  <si>
    <t>1014082</t>
  </si>
  <si>
    <t>4082</t>
  </si>
  <si>
    <t>Інші заходи в галузі культури і мистецтва</t>
  </si>
  <si>
    <t>1100000</t>
  </si>
  <si>
    <t>Вiддiл  молодi та спорту Чорноморської мiської ради Одеського району Одеської областi</t>
  </si>
  <si>
    <t>1110000</t>
  </si>
  <si>
    <t>1110160</t>
  </si>
  <si>
    <t>1113133</t>
  </si>
  <si>
    <t>3133</t>
  </si>
  <si>
    <t>1115011</t>
  </si>
  <si>
    <t>5011</t>
  </si>
  <si>
    <t>Проведення навчально-тренувальних зборів і змагань з олімпійських видів спорту</t>
  </si>
  <si>
    <t>1115012</t>
  </si>
  <si>
    <t>5012</t>
  </si>
  <si>
    <t>Проведення навчально-тренувальних зборів і змагань з неолімпійських видів спорту</t>
  </si>
  <si>
    <t>1115061</t>
  </si>
  <si>
    <t>5061</t>
  </si>
  <si>
    <t>1200000</t>
  </si>
  <si>
    <t>Вiддiл комунального господарства та благоустрою Чорноморської мiської ради Одеського району Одеської областi</t>
  </si>
  <si>
    <t>1210000</t>
  </si>
  <si>
    <t>1210160</t>
  </si>
  <si>
    <t>1210170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</si>
  <si>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</si>
  <si>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</si>
  <si>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</si>
  <si>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</si>
  <si>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</si>
  <si>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пов`язана з експлуатацією об`єктів житлово-комунального господарства</t>
  </si>
  <si>
    <t>1216030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</si>
  <si>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</si>
  <si>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</si>
  <si>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</si>
  <si>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</si>
  <si>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1217693</t>
  </si>
  <si>
    <t>7693</t>
  </si>
  <si>
    <t>Інші заходи, пов`язані з економічною діяльністю</t>
  </si>
  <si>
    <t>1218110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</si>
  <si>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</si>
  <si>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</si>
  <si>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</si>
  <si>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1500000</t>
  </si>
  <si>
    <t>Управлiння капiтального будiвництва Чорноморської мiської ради Одеського району Одеської областi</t>
  </si>
  <si>
    <t>1510000</t>
  </si>
  <si>
    <t>1510160</t>
  </si>
  <si>
    <t>3100000</t>
  </si>
  <si>
    <t>Управлiння комунальної власностi та земельних вiдносин Чорноморської мiської ради Одеського району Одеської областi</t>
  </si>
  <si>
    <t>3110000</t>
  </si>
  <si>
    <t>3110160</t>
  </si>
  <si>
    <t>3110180</t>
  </si>
  <si>
    <t>3116017</t>
  </si>
  <si>
    <t>3117130</t>
  </si>
  <si>
    <t>7130</t>
  </si>
  <si>
    <t>0421</t>
  </si>
  <si>
    <t>Здійснення заходів із землеустрою</t>
  </si>
  <si>
    <t>0443</t>
  </si>
  <si>
    <t>3117693</t>
  </si>
  <si>
    <t>3118240</t>
  </si>
  <si>
    <t>8240</t>
  </si>
  <si>
    <t>Заходи та роботи з територіальної оборони</t>
  </si>
  <si>
    <t>3700000</t>
  </si>
  <si>
    <t>Фiнансове управлiння Чорноморської мiської ради Одеського району Одеської областi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</si>
  <si>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</si>
  <si>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</si>
  <si>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</si>
  <si>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</si>
  <si>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</si>
  <si>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</si>
  <si>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</si>
  <si>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Інші субвенції з місцевого бюджету</t>
  </si>
  <si>
    <t>УСЬОГО</t>
  </si>
  <si>
    <t>X</t>
  </si>
  <si>
    <t>0540</t>
  </si>
  <si>
    <t>Природоохоронні заходи за рахунок цільових фондів</t>
  </si>
  <si>
    <t>0218340</t>
  </si>
  <si>
    <t>Олександрівська селищна адміністрація Чорноморської міської ради Одеського району Одеської області</t>
  </si>
  <si>
    <t>Бурлачобалківська сільська адміністрація Чорноморської міської ради Одеського району Одеської області</t>
  </si>
  <si>
    <t>Малодолинська сільська адміністрація Чорноморської міської ради Одеського району Одеської області</t>
  </si>
  <si>
    <t>0217520</t>
  </si>
  <si>
    <t>7520</t>
  </si>
  <si>
    <t>Реалізація Національної програми інформатизації</t>
  </si>
  <si>
    <t>0460</t>
  </si>
  <si>
    <t>0218110</t>
  </si>
  <si>
    <t>0617520</t>
  </si>
  <si>
    <t>0618110</t>
  </si>
  <si>
    <t>0813140</t>
  </si>
  <si>
    <t>0817520</t>
  </si>
  <si>
    <t>0917520</t>
  </si>
  <si>
    <t>1017520</t>
  </si>
  <si>
    <t>1117520</t>
  </si>
  <si>
    <t>1217520</t>
  </si>
  <si>
    <t>1517520</t>
  </si>
  <si>
    <t>3117520</t>
  </si>
  <si>
    <t>3717520</t>
  </si>
  <si>
    <t>Реверсна дотація</t>
  </si>
  <si>
    <t>КНП "Чорноморський міський центр первинної медико-санітарної допомоги" Чорноморської міської ради Одеського району Одеської області</t>
  </si>
  <si>
    <t>КУ "Муніципальна варта" Чорноморської міської ради Одеського району Одеської області</t>
  </si>
  <si>
    <t>КНП "Чорноморська лікарня" Чорноморської міської ради Одеського району Одеської області</t>
  </si>
  <si>
    <t>КНП "Стоматологічна поліклініка міста Чорноморська" Чорноморської міської ради Одеського району Одеської області</t>
  </si>
  <si>
    <t>Управління соціальної політики Чорноморської мiської ради Одеського району Одеської областi</t>
  </si>
  <si>
    <t>Інша діяльність у сфері житлово-комунального господарства</t>
  </si>
  <si>
    <t>0640</t>
  </si>
  <si>
    <t>3116090</t>
  </si>
  <si>
    <t>Комунальна установа "Територіальний центр соціального обслуговування (надання соціальних послуг) Чорноморської міської ради Одеського району  Одеської області"</t>
  </si>
  <si>
    <t>Комунальна установа "Центр соціальних служб Чорноморської міської ради Одеського району Одеської області"</t>
  </si>
  <si>
    <t>0100</t>
  </si>
  <si>
    <t>Державне управління</t>
  </si>
  <si>
    <t>1000</t>
  </si>
  <si>
    <t>Освіта</t>
  </si>
  <si>
    <t>2000</t>
  </si>
  <si>
    <t>Охорона здоров'я</t>
  </si>
  <si>
    <t>3000</t>
  </si>
  <si>
    <t>Соціальний захист та соціальне забезпечення</t>
  </si>
  <si>
    <t>4000</t>
  </si>
  <si>
    <t>Культура і мистецтво</t>
  </si>
  <si>
    <t>5000</t>
  </si>
  <si>
    <t>Фізична культура і спорт</t>
  </si>
  <si>
    <t>6000</t>
  </si>
  <si>
    <t>Житлово-комунальне господарство</t>
  </si>
  <si>
    <t>7000</t>
  </si>
  <si>
    <t>Економічна діяльність</t>
  </si>
  <si>
    <t>8000</t>
  </si>
  <si>
    <t>Інша діяльність</t>
  </si>
  <si>
    <t>9000</t>
  </si>
  <si>
    <t>Міжбюджетні трансферти</t>
  </si>
  <si>
    <t>до рішення Чорноморської міської ради</t>
  </si>
  <si>
    <t>Здійснення соціальної роботи та надання соціальних послуг центрами соціальних служб та центрами надання соціальних послуг особам/сім'ям, які належать до вразливих груп населення та/або перебувають у складних життєвих обставинах</t>
  </si>
  <si>
    <t>Забезпечення молодіжними центрами соціального становлення та розвитку молоді та інші заходи у сфері  молодіжної політики</t>
  </si>
  <si>
    <t>Розвиток здібностей у дітей та молоді з фізичної культури та спорту комунальними дитячо-юнацькими спортивними школами</t>
  </si>
  <si>
    <t>в тому числі:</t>
  </si>
  <si>
    <t>комунальні заклади загальної середньої освіти</t>
  </si>
  <si>
    <t>Субвенція з місцевого бюджету державному бюджету на виконання програм соціально-економічного розвитку регіонів</t>
  </si>
  <si>
    <t>0217351</t>
  </si>
  <si>
    <t>7351</t>
  </si>
  <si>
    <t>Розроблення комплексних планів просторового розвитку територій територіальних громад</t>
  </si>
  <si>
    <t>1218340</t>
  </si>
  <si>
    <t>видатків бюджету Чорноморської міської територіальної громади  на 2026 рік</t>
  </si>
  <si>
    <t>0217610</t>
  </si>
  <si>
    <t>7610</t>
  </si>
  <si>
    <t>Сприяння розвитку малого та середнього підприємництва</t>
  </si>
  <si>
    <t>0411</t>
  </si>
  <si>
    <t>0217693</t>
  </si>
  <si>
    <t>Інші заходи, пов'язані з економічною діяльністю</t>
  </si>
  <si>
    <t>0610170</t>
  </si>
  <si>
    <t>0810170</t>
  </si>
  <si>
    <t>0818110</t>
  </si>
  <si>
    <t>0910170</t>
  </si>
  <si>
    <t>1010170</t>
  </si>
  <si>
    <t>1018110</t>
  </si>
  <si>
    <t>1110170</t>
  </si>
  <si>
    <t>(грн)</t>
  </si>
  <si>
    <t>"Додаток 3</t>
  </si>
  <si>
    <t>від 24.12.2025  № 1014 - VIII"</t>
  </si>
  <si>
    <t>2170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</si>
  <si>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</si>
  <si>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Інші заходи та заклади у сфері соціального захисту і соціального забезпечення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</si>
  <si>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</si>
  <si>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0217640</t>
  </si>
  <si>
    <t>7640</t>
  </si>
  <si>
    <t>Заходи з енергозбереження</t>
  </si>
  <si>
    <t>0470</t>
  </si>
  <si>
    <t>0218240</t>
  </si>
  <si>
    <t>Заходи та роботи з територіальної оборони,</t>
  </si>
  <si>
    <t>0212170</t>
  </si>
  <si>
    <t>приватні заклади загальної середньої освіти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</si>
  <si>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</si>
  <si>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</si>
  <si>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</si>
  <si>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</si>
  <si>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</si>
  <si>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</si>
  <si>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</si>
  <si>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</si>
  <si>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</si>
  <si>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</si>
  <si>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</si>
  <si>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</si>
  <si>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</si>
  <si>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</si>
  <si>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</si>
  <si>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</si>
  <si>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</si>
  <si>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</si>
  <si>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</si>
  <si>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0813191</t>
  </si>
  <si>
    <t>Інші видатки на соціальний захист ветеранів війни та праці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</si>
  <si>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</si>
  <si>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</si>
  <si>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</si>
  <si>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0823244</t>
  </si>
  <si>
    <t>3244</t>
  </si>
  <si>
    <t>Надання комплексної соціальної послуги життєстійкості надавачами соціальних послуг</t>
  </si>
  <si>
    <t>1117691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</si>
  <si>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</si>
  <si>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</si>
  <si>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Експлуатація та технічне обслуговування житлового фонду</t>
  </si>
  <si>
    <t>0610</t>
  </si>
  <si>
    <t>Забезпечення діяльності водопровідно-каналізаційного господарства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</si>
  <si>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</si>
  <si>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1217640</t>
  </si>
  <si>
    <t>1217691</t>
  </si>
  <si>
    <t>Реалізація проектів (заходів) з відновлення закладів охорони здоров'я, пошкоджених/знищених внаслідок збройної агресії, за рахунок коштів місцевих бюджетів</t>
  </si>
  <si>
    <t>1517691</t>
  </si>
  <si>
    <t>Розвиток спортивної інфраструктури</t>
  </si>
  <si>
    <t>0611200</t>
  </si>
  <si>
    <t>Проведення (надання) додаткових психолого-педагогічних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</si>
  <si>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0611183</t>
  </si>
  <si>
    <t>0611184</t>
  </si>
  <si>
    <t>1183</t>
  </si>
  <si>
    <t>1184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</si>
  <si>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</si>
  <si>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</si>
  <si>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Додаток 3</t>
  </si>
  <si>
    <t>Субвенція з місцевого бюджету на підготовку та реалізацію публічних інвестиційних проектів/програм публічних інвестицій</t>
  </si>
  <si>
    <t>0813221</t>
  </si>
  <si>
    <t>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</si>
  <si>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</si>
  <si>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Підтримка спорту вищих досягнень та організацій, які здійснюють фізкультурно-спортивну діяльність в регіоні</t>
  </si>
  <si>
    <t>Забезпечення діяльності з виробництва, транспортування, постачання теплової енергії</t>
  </si>
  <si>
    <t>Реалізація інших заходів щодо соціально-економічного розвитку територій</t>
  </si>
  <si>
    <t>0218721</t>
  </si>
  <si>
    <t>Заходи із запобігання та ліквідації наслідків надзвичайної ситуації у будівлі закладу охорони здоров'я за рахунок коштів резервного фонду місцевого бюджету</t>
  </si>
  <si>
    <t>1218746</t>
  </si>
  <si>
    <t>Заходи із запобігання та ліквідації наслідків надзвичайної ситуації в інших системах та об'єктах житлово-комунального господарства за рахунок коштів резервного фонду місцевого бюджету</t>
  </si>
  <si>
    <t>0218733</t>
  </si>
  <si>
    <t>Заходи із запобігання та ліквідації наслідків надзвичайної ситуації на об'єктах транспортної та дорожньої інфраструктури за рахунок коштів резервного фонду місцевого бюджету</t>
  </si>
  <si>
    <t>0611402</t>
  </si>
  <si>
    <t>1402</t>
  </si>
  <si>
    <t>Виконання заходів за рахунок субвенції з державного бюджету місцевим бюджетам на задоволення потреб у забезпеченні безпечного освітнього середовища</t>
  </si>
  <si>
    <t>Реалізація Комплексних планів стійкості регіонів та окремих міст</t>
  </si>
  <si>
    <t>1218745</t>
  </si>
  <si>
    <t>Заходи із запобігання та ліквідації наслідків надзвичайної ситуації в системах забезпечення населення питною водою за рахунок коштів резервного фонду місцевого бюджету</t>
  </si>
  <si>
    <t>Начальник фінансового управління</t>
  </si>
  <si>
    <t>Ольга ЯКОВЕНКО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</si>
  <si>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</si>
  <si>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0218746</t>
  </si>
  <si>
    <t>1218742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</si>
  <si>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</si>
  <si>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>0611310</t>
  </si>
  <si>
    <t>Реалізація проектів (заходів) з відновлення освітніх установ та закладів, пошкоджених/знищених внаслідок збройної агресії, за рахунок коштів місцевих бюджетів</t>
  </si>
  <si>
    <t>1310</t>
  </si>
  <si>
    <t>Реалізація проектів (заходів) з відновлення об'єктів житлово-комунального господарства, пошкоджених/знищених внаслідок збройної агресії, за рахунок коштів місцевих бюджетів</t>
  </si>
  <si>
    <t>від 14.10.2026  №  1213 -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</si>
</sst>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₴_-;\-* #,##0.00\ _₴_-;_-* &quot;-&quot;??\ _₴_-;_-@_-"/>
    <numFmt numFmtId="165" formatCode="#,##0.000"/>
  </numFmts>
  <fonts count="18">
    <font>
      <sz val="10"/>
      <color theme="1"/>
      <name val="Шрифт текста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theme="1"/>
      <name val="Шрифт текста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9" fillId="0" borderId="0"/>
    <xf numFmtId="0" fontId="13" fillId="0" borderId="0"/>
    <xf numFmtId="0" fontId="14" fillId="0" borderId="0"/>
    <xf numFmtId="0" fontId="2" fillId="0" borderId="0"/>
    <xf numFmtId="0" fontId="13" fillId="0" borderId="0"/>
    <xf numFmtId="0" fontId="15" fillId="0" borderId="0"/>
    <xf numFmtId="0" fontId="2" fillId="0" borderId="0"/>
    <xf numFmtId="0" fontId="2" fillId="0" borderId="0"/>
    <xf numFmtId="0" fontId="16" fillId="0" borderId="0"/>
    <xf numFmtId="164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7" fillId="0" borderId="0" applyFont="0" applyFill="0" applyBorder="0" applyAlignment="0" applyProtection="0"/>
  </cellStyleXfs>
  <cellXfs count="43">
    <xf numFmtId="0" fontId="0" fillId="0" borderId="0" xfId="0"/>
    <xf numFmtId="0" fontId="4" fillId="2" borderId="1" xfId="0" quotePrefix="1" applyFont="1" applyFill="1" applyBorder="1" applyAlignment="1">
      <alignment vertical="center" wrapText="1"/>
    </xf>
    <xf numFmtId="0" fontId="3" fillId="0" borderId="0" xfId="0" applyFont="1"/>
    <xf numFmtId="0" fontId="6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vertical="center" wrapText="1"/>
    </xf>
    <xf numFmtId="0" fontId="3" fillId="2" borderId="1" xfId="0" quotePrefix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8" fillId="2" borderId="1" xfId="0" applyNumberFormat="1" applyFont="1" applyFill="1" applyBorder="1"/>
    <xf numFmtId="49" fontId="8" fillId="2" borderId="1" xfId="0" applyNumberFormat="1" applyFont="1" applyFill="1" applyBorder="1" applyAlignment="1">
      <alignment horizontal="center"/>
    </xf>
    <xf numFmtId="165" fontId="10" fillId="2" borderId="1" xfId="1" applyNumberFormat="1" applyFont="1" applyFill="1" applyBorder="1" applyAlignment="1">
      <alignment wrapText="1"/>
    </xf>
    <xf numFmtId="0" fontId="10" fillId="2" borderId="0" xfId="0" applyFont="1" applyFill="1"/>
    <xf numFmtId="0" fontId="11" fillId="2" borderId="0" xfId="0" applyFont="1" applyFill="1"/>
    <xf numFmtId="0" fontId="5" fillId="2" borderId="1" xfId="0" applyFont="1" applyFill="1" applyBorder="1" applyAlignment="1">
      <alignment wrapText="1"/>
    </xf>
    <xf numFmtId="0" fontId="12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4" fontId="5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1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4" fontId="5" fillId="2" borderId="0" xfId="0" applyNumberFormat="1" applyFont="1" applyFill="1" applyAlignment="1">
      <alignment vertical="center"/>
    </xf>
    <xf numFmtId="4" fontId="3" fillId="2" borderId="1" xfId="0" applyNumberFormat="1" applyFont="1" applyFill="1" applyBorder="1"/>
    <xf numFmtId="4" fontId="5" fillId="2" borderId="1" xfId="0" applyNumberFormat="1" applyFont="1" applyFill="1" applyBorder="1"/>
    <xf numFmtId="4" fontId="10" fillId="2" borderId="0" xfId="0" applyNumberFormat="1" applyFont="1" applyFill="1"/>
    <xf numFmtId="4" fontId="3" fillId="0" borderId="0" xfId="0" applyNumberFormat="1" applyFont="1"/>
    <xf numFmtId="4" fontId="3" fillId="2" borderId="0" xfId="0" applyNumberFormat="1" applyFont="1" applyFill="1"/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10" fillId="2" borderId="1" xfId="0" quotePrefix="1" applyFont="1" applyFill="1" applyBorder="1" applyAlignment="1">
      <alignment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5">
    <cellStyle name="Звичайний" xfId="0" builtinId="0"/>
    <cellStyle name="Звичайний 2" xfId="7" xr:uid="{00000000-0005-0000-0000-000001000000}"/>
    <cellStyle name="Звичайний 2 2" xfId="8" xr:uid="{00000000-0005-0000-0000-000002000000}"/>
    <cellStyle name="Звичайний 2 2 2" xfId="13" xr:uid="{00000000-0005-0000-0000-000003000000}"/>
    <cellStyle name="Звичайний 2 3" xfId="12" xr:uid="{00000000-0005-0000-0000-000004000000}"/>
    <cellStyle name="Обычный 2" xfId="5" xr:uid="{00000000-0005-0000-0000-000005000000}"/>
    <cellStyle name="Обычный 3" xfId="3" xr:uid="{00000000-0005-0000-0000-000006000000}"/>
    <cellStyle name="Обычный 4" xfId="6" xr:uid="{00000000-0005-0000-0000-000007000000}"/>
    <cellStyle name="Обычный 5" xfId="2" xr:uid="{00000000-0005-0000-0000-000008000000}"/>
    <cellStyle name="Обычный 6" xfId="4" xr:uid="{00000000-0005-0000-0000-000009000000}"/>
    <cellStyle name="Обычный 6 2" xfId="11" xr:uid="{00000000-0005-0000-0000-00000A000000}"/>
    <cellStyle name="Обычный 9" xfId="9" xr:uid="{00000000-0005-0000-0000-00000B000000}"/>
    <cellStyle name="Обычный_дод 3" xfId="1" xr:uid="{00000000-0005-0000-0000-00000C000000}"/>
    <cellStyle name="Фінансовий" xfId="10" builtinId="3"/>
    <cellStyle name="Фінансовий 2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42"/>
  <sheetViews>
    <sheetView showZeros="0" tabSelected="1" view="pageBreakPreview" zoomScale="70" zoomScaleNormal="70" zoomScaleSheetLayoutView="70" workbookViewId="0">
      <pane xSplit="4" ySplit="17" topLeftCell="E222" activePane="bottomRight" state="frozen"/>
      <selection pane="topRight" activeCell="E1" sqref="E1"/>
      <selection pane="bottomLeft" activeCell="A14" sqref="A14"/>
      <selection pane="bottomRight" activeCell="M3" sqref="M3"/>
    </sheetView>
  </sheetViews>
  <sheetFormatPr defaultColWidth="8.85546875" defaultRowHeight="15.75"/>
  <cols>
    <col min="1" max="3" width="12.140625" style="2" customWidth="1"/>
    <col min="4" max="4" width="40.7109375" style="2" customWidth="1"/>
    <col min="5" max="5" width="20.140625" style="2" customWidth="1"/>
    <col min="6" max="6" width="19.5703125" style="2" customWidth="1"/>
    <col min="7" max="7" width="17.28515625" style="2" customWidth="1"/>
    <col min="8" max="8" width="18.5703125" style="2" customWidth="1"/>
    <col min="9" max="9" width="18.7109375" style="2" customWidth="1"/>
    <col min="10" max="11" width="17.7109375" style="2" customWidth="1"/>
    <col min="12" max="12" width="17.5703125" style="2" customWidth="1"/>
    <col min="13" max="14" width="15.7109375" style="2" customWidth="1"/>
    <col min="15" max="15" width="17.28515625" style="2" customWidth="1"/>
    <col min="16" max="16" width="20.5703125" style="2" customWidth="1"/>
    <col min="17" max="17" width="17.7109375" style="2" customWidth="1"/>
    <col min="18" max="18" width="8.85546875" style="2"/>
    <col min="19" max="19" width="14.85546875" style="2" customWidth="1"/>
    <col min="20" max="16384" width="8.85546875" style="2"/>
  </cols>
  <sheetData>
    <row r="1" spans="1:16">
      <c r="M1" s="2" t="s">
        <v>402</v>
      </c>
    </row>
    <row r="2" spans="1:16">
      <c r="M2" s="2" t="s">
        <v>315</v>
      </c>
    </row>
    <row r="3" spans="1:16">
      <c r="M3" s="2" t="s">
        <v>432</v>
      </c>
    </row>
    <row r="5" spans="1:16" ht="20.45" customHeight="1">
      <c r="M5" s="2" t="s">
        <v>341</v>
      </c>
    </row>
    <row r="6" spans="1:16" ht="20.45" customHeight="1">
      <c r="M6" s="2" t="s">
        <v>315</v>
      </c>
    </row>
    <row r="7" spans="1:16" ht="20.45" customHeight="1">
      <c r="M7" s="2" t="s">
        <v>342</v>
      </c>
    </row>
    <row r="9" spans="1:16">
      <c r="A9" s="39" t="s">
        <v>0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>
      <c r="A10" s="39" t="s">
        <v>326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6">
      <c r="A11" s="3" t="s">
        <v>1</v>
      </c>
    </row>
    <row r="12" spans="1:16">
      <c r="A12" s="2" t="s">
        <v>2</v>
      </c>
      <c r="P12" s="4" t="s">
        <v>340</v>
      </c>
    </row>
    <row r="13" spans="1:16" ht="26.45" customHeight="1">
      <c r="A13" s="41" t="s">
        <v>3</v>
      </c>
      <c r="B13" s="41" t="s">
        <v>4</v>
      </c>
      <c r="C13" s="41" t="s">
        <v>5</v>
      </c>
      <c r="D13" s="42" t="s">
        <v>6</v>
      </c>
      <c r="E13" s="42" t="s">
        <v>7</v>
      </c>
      <c r="F13" s="42"/>
      <c r="G13" s="42"/>
      <c r="H13" s="42"/>
      <c r="I13" s="42"/>
      <c r="J13" s="42" t="s">
        <v>14</v>
      </c>
      <c r="K13" s="42"/>
      <c r="L13" s="42"/>
      <c r="M13" s="42"/>
      <c r="N13" s="42"/>
      <c r="O13" s="42"/>
      <c r="P13" s="42" t="s">
        <v>16</v>
      </c>
    </row>
    <row r="14" spans="1:16" ht="26.45" customHeight="1">
      <c r="A14" s="41"/>
      <c r="B14" s="41"/>
      <c r="C14" s="41"/>
      <c r="D14" s="42"/>
      <c r="E14" s="42" t="s">
        <v>8</v>
      </c>
      <c r="F14" s="42" t="s">
        <v>9</v>
      </c>
      <c r="G14" s="42" t="s">
        <v>10</v>
      </c>
      <c r="H14" s="42"/>
      <c r="I14" s="42" t="s">
        <v>13</v>
      </c>
      <c r="J14" s="42" t="s">
        <v>8</v>
      </c>
      <c r="K14" s="42" t="s">
        <v>15</v>
      </c>
      <c r="L14" s="42" t="s">
        <v>9</v>
      </c>
      <c r="M14" s="42" t="s">
        <v>10</v>
      </c>
      <c r="N14" s="42"/>
      <c r="O14" s="42" t="s">
        <v>13</v>
      </c>
      <c r="P14" s="42"/>
    </row>
    <row r="15" spans="1:16" ht="30.6" customHeight="1">
      <c r="A15" s="41"/>
      <c r="B15" s="41"/>
      <c r="C15" s="41"/>
      <c r="D15" s="42"/>
      <c r="E15" s="42"/>
      <c r="F15" s="42"/>
      <c r="G15" s="42" t="s">
        <v>11</v>
      </c>
      <c r="H15" s="42" t="s">
        <v>12</v>
      </c>
      <c r="I15" s="42"/>
      <c r="J15" s="42"/>
      <c r="K15" s="42"/>
      <c r="L15" s="42"/>
      <c r="M15" s="42" t="s">
        <v>11</v>
      </c>
      <c r="N15" s="42" t="s">
        <v>12</v>
      </c>
      <c r="O15" s="42"/>
      <c r="P15" s="42"/>
    </row>
    <row r="16" spans="1:16" ht="26.45" customHeight="1">
      <c r="A16" s="41"/>
      <c r="B16" s="41"/>
      <c r="C16" s="41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9">
      <c r="A17" s="23">
        <v>1</v>
      </c>
      <c r="B17" s="23">
        <v>2</v>
      </c>
      <c r="C17" s="23">
        <v>3</v>
      </c>
      <c r="D17" s="23">
        <v>4</v>
      </c>
      <c r="E17" s="23">
        <v>5</v>
      </c>
      <c r="F17" s="23">
        <v>6</v>
      </c>
      <c r="G17" s="23">
        <v>7</v>
      </c>
      <c r="H17" s="23">
        <v>8</v>
      </c>
      <c r="I17" s="23">
        <v>9</v>
      </c>
      <c r="J17" s="23">
        <v>10</v>
      </c>
      <c r="K17" s="23">
        <v>11</v>
      </c>
      <c r="L17" s="23">
        <v>12</v>
      </c>
      <c r="M17" s="23">
        <v>13</v>
      </c>
      <c r="N17" s="23">
        <v>14</v>
      </c>
      <c r="O17" s="23">
        <v>15</v>
      </c>
      <c r="P17" s="23">
        <v>16</v>
      </c>
    </row>
    <row r="18" spans="1:19" ht="47.25">
      <c r="A18" s="6" t="s">
        <v>17</v>
      </c>
      <c r="B18" s="6" t="s">
        <v>18</v>
      </c>
      <c r="C18" s="6" t="s">
        <v>18</v>
      </c>
      <c r="D18" s="7" t="s">
        <v>19</v>
      </c>
      <c r="E18" s="25">
        <f>F18+I18</f>
        <v>259978110.14999998</v>
      </c>
      <c r="F18" s="25">
        <f>F19</f>
        <v>253886097.33999997</v>
      </c>
      <c r="G18" s="25">
        <f>G19</f>
        <v>127717700</v>
      </c>
      <c r="H18" s="25">
        <f>H19</f>
        <v>5664000</v>
      </c>
      <c r="I18" s="25">
        <f>I19</f>
        <v>6092012.8100000005</v>
      </c>
      <c r="J18" s="25">
        <f>L18+O18</f>
        <v>2897121</v>
      </c>
      <c r="K18" s="25">
        <f>K19</f>
        <v>2677121</v>
      </c>
      <c r="L18" s="25">
        <f>L19</f>
        <v>220000</v>
      </c>
      <c r="M18" s="25">
        <f>M19</f>
        <v>0</v>
      </c>
      <c r="N18" s="25">
        <f>N19</f>
        <v>0</v>
      </c>
      <c r="O18" s="25">
        <f>O19</f>
        <v>2677121</v>
      </c>
      <c r="P18" s="25">
        <f t="shared" ref="P18:P97" si="0">E18 + J18</f>
        <v>262875231.14999998</v>
      </c>
      <c r="Q18" s="33"/>
      <c r="S18" s="33"/>
    </row>
    <row r="19" spans="1:19" ht="47.25">
      <c r="A19" s="6" t="s">
        <v>20</v>
      </c>
      <c r="B19" s="6" t="s">
        <v>18</v>
      </c>
      <c r="C19" s="6" t="s">
        <v>18</v>
      </c>
      <c r="D19" s="7" t="s">
        <v>19</v>
      </c>
      <c r="E19" s="25">
        <f>F19+I19</f>
        <v>259978110.14999998</v>
      </c>
      <c r="F19" s="25">
        <f>F20+F25+F26+F27+F28+F29+F30+F34+F35+F36+F41+F42+F49+F50+F51+F52+F53+F61+F62+F63+F64+F65+F66+F67+F68</f>
        <v>253886097.33999997</v>
      </c>
      <c r="G19" s="25">
        <f t="shared" ref="G19:K19" si="1">G20+G25+G26+G27+G28+G29+G30+G34+G35+G36+G41+G42+G49+G50+G51+G52+G53+G61+G62+G63+G64+G65+G66+G67+G68</f>
        <v>127717700</v>
      </c>
      <c r="H19" s="25">
        <f t="shared" si="1"/>
        <v>5664000</v>
      </c>
      <c r="I19" s="25">
        <f t="shared" si="1"/>
        <v>6092012.8100000005</v>
      </c>
      <c r="J19" s="25">
        <f>L19+O19</f>
        <v>2897121</v>
      </c>
      <c r="K19" s="25">
        <f t="shared" si="1"/>
        <v>2677121</v>
      </c>
      <c r="L19" s="25">
        <f t="shared" ref="L19" si="2">L20+L25+L26+L27+L28+L29+L30+L34+L35+L36+L41+L42+L49+L50+L51+L52+L53+L61+L62+L63+L64+L65+L66+L67+L68</f>
        <v>220000</v>
      </c>
      <c r="M19" s="25">
        <f t="shared" ref="M19" si="3">M20+M25+M26+M27+M28+M29+M30+M34+M35+M36+M41+M42+M49+M50+M51+M52+M53+M61+M62+M63+M64+M65+M66+M67+M68</f>
        <v>0</v>
      </c>
      <c r="N19" s="25">
        <f t="shared" ref="N19" si="4">N20+N25+N26+N27+N28+N29+N30+N34+N35+N36+N41+N42+N49+N50+N51+N52+N53+N61+N62+N63+N64+N65+N66+N67+N68</f>
        <v>0</v>
      </c>
      <c r="O19" s="25">
        <f t="shared" ref="O19" si="5">O20+O25+O26+O27+O28+O29+O30+O34+O35+O36+O41+O42+O49+O50+O51+O52+O53+O61+O62+O63+O64+O65+O66+O67+O68</f>
        <v>2677121</v>
      </c>
      <c r="P19" s="25">
        <f>E19 + J19</f>
        <v>262875231.14999998</v>
      </c>
      <c r="S19" s="33"/>
    </row>
    <row r="20" spans="1:19" ht="102" customHeight="1">
      <c r="A20" s="23" t="s">
        <v>21</v>
      </c>
      <c r="B20" s="23" t="s">
        <v>22</v>
      </c>
      <c r="C20" s="23" t="s">
        <v>23</v>
      </c>
      <c r="D20" s="8" t="s">
        <v>24</v>
      </c>
      <c r="E20" s="26">
        <f>F20+I20</f>
        <v>112186375</v>
      </c>
      <c r="F20" s="26">
        <f>F21+F22+F23+F24</f>
        <v>112186375</v>
      </c>
      <c r="G20" s="26">
        <f>G21+G22+G23+G24</f>
        <v>100430900</v>
      </c>
      <c r="H20" s="26">
        <f t="shared" ref="H20:I20" si="6">H21+H22+H23+H24</f>
        <v>5598500</v>
      </c>
      <c r="I20" s="27">
        <f t="shared" si="6"/>
        <v>0</v>
      </c>
      <c r="J20" s="26">
        <f>L20+O20</f>
        <v>120000</v>
      </c>
      <c r="K20" s="27">
        <f>K21+K22+K23+K24</f>
        <v>0</v>
      </c>
      <c r="L20" s="26">
        <f t="shared" ref="L20:O20" si="7">L21+L22+L23+L24</f>
        <v>120000</v>
      </c>
      <c r="M20" s="26">
        <f t="shared" si="7"/>
        <v>0</v>
      </c>
      <c r="N20" s="26">
        <f t="shared" si="7"/>
        <v>0</v>
      </c>
      <c r="O20" s="26">
        <f t="shared" si="7"/>
        <v>0</v>
      </c>
      <c r="P20" s="26">
        <f t="shared" si="0"/>
        <v>112306375</v>
      </c>
      <c r="Q20" s="33"/>
      <c r="S20" s="33"/>
    </row>
    <row r="21" spans="1:19" s="5" customFormat="1" ht="58.5" customHeight="1">
      <c r="A21" s="9"/>
      <c r="B21" s="9"/>
      <c r="C21" s="9"/>
      <c r="D21" s="1" t="s">
        <v>19</v>
      </c>
      <c r="E21" s="28">
        <f>F21+I21</f>
        <v>98966075</v>
      </c>
      <c r="F21" s="28">
        <f>101662000-182500-11000-29300+27600-100000-127300-379200+46975-1941200</f>
        <v>98966075</v>
      </c>
      <c r="G21" s="28">
        <f>91354400-1941200</f>
        <v>89413200</v>
      </c>
      <c r="H21" s="28">
        <f>5178900-11000</f>
        <v>5167900</v>
      </c>
      <c r="I21" s="28"/>
      <c r="J21" s="28">
        <f>L21+O21</f>
        <v>119998</v>
      </c>
      <c r="K21" s="28"/>
      <c r="L21" s="28">
        <v>119998</v>
      </c>
      <c r="M21" s="28"/>
      <c r="N21" s="28"/>
      <c r="O21" s="28"/>
      <c r="P21" s="28">
        <f t="shared" si="0"/>
        <v>99086073</v>
      </c>
      <c r="S21" s="33"/>
    </row>
    <row r="22" spans="1:19" s="5" customFormat="1" ht="74.25" customHeight="1">
      <c r="A22" s="9"/>
      <c r="B22" s="9"/>
      <c r="C22" s="9"/>
      <c r="D22" s="1" t="s">
        <v>265</v>
      </c>
      <c r="E22" s="28">
        <f t="shared" ref="E22:E68" si="8">F22+I22</f>
        <v>5357500</v>
      </c>
      <c r="F22" s="28">
        <f>5534600-59800-280000+162700</f>
        <v>5357500</v>
      </c>
      <c r="G22" s="28">
        <f>4117400+162700</f>
        <v>4280100</v>
      </c>
      <c r="H22" s="28">
        <v>208400</v>
      </c>
      <c r="I22" s="28"/>
      <c r="J22" s="28">
        <f t="shared" ref="J22:J65" si="9">L22+O22</f>
        <v>1</v>
      </c>
      <c r="K22" s="28"/>
      <c r="L22" s="28">
        <v>1</v>
      </c>
      <c r="M22" s="28"/>
      <c r="N22" s="28"/>
      <c r="O22" s="28"/>
      <c r="P22" s="28">
        <f t="shared" si="0"/>
        <v>5357501</v>
      </c>
      <c r="S22" s="33"/>
    </row>
    <row r="23" spans="1:19" s="5" customFormat="1" ht="70.5" customHeight="1">
      <c r="A23" s="9"/>
      <c r="B23" s="9"/>
      <c r="C23" s="9"/>
      <c r="D23" s="1" t="s">
        <v>266</v>
      </c>
      <c r="E23" s="28">
        <f t="shared" si="8"/>
        <v>3445700</v>
      </c>
      <c r="F23" s="28">
        <f>3000100+445600</f>
        <v>3445700</v>
      </c>
      <c r="G23" s="28">
        <f>2776600+445600</f>
        <v>3222200</v>
      </c>
      <c r="H23" s="28">
        <f>73800+7400</f>
        <v>81200</v>
      </c>
      <c r="I23" s="28"/>
      <c r="J23" s="28">
        <f t="shared" si="9"/>
        <v>0</v>
      </c>
      <c r="K23" s="28"/>
      <c r="L23" s="28"/>
      <c r="M23" s="28"/>
      <c r="N23" s="28"/>
      <c r="O23" s="28"/>
      <c r="P23" s="28">
        <f t="shared" si="0"/>
        <v>3445700</v>
      </c>
      <c r="S23" s="33"/>
    </row>
    <row r="24" spans="1:19" s="5" customFormat="1" ht="71.25" customHeight="1">
      <c r="A24" s="9"/>
      <c r="B24" s="9"/>
      <c r="C24" s="9"/>
      <c r="D24" s="1" t="s">
        <v>267</v>
      </c>
      <c r="E24" s="28">
        <f t="shared" si="8"/>
        <v>4417100</v>
      </c>
      <c r="F24" s="28">
        <f>3911400+370000+135700</f>
        <v>4417100</v>
      </c>
      <c r="G24" s="28">
        <f>3379700+135700</f>
        <v>3515400</v>
      </c>
      <c r="H24" s="28">
        <v>141000</v>
      </c>
      <c r="I24" s="28"/>
      <c r="J24" s="28">
        <f t="shared" si="9"/>
        <v>1</v>
      </c>
      <c r="K24" s="28"/>
      <c r="L24" s="28">
        <v>1</v>
      </c>
      <c r="M24" s="28"/>
      <c r="N24" s="28"/>
      <c r="O24" s="28"/>
      <c r="P24" s="28">
        <f t="shared" si="0"/>
        <v>4417101</v>
      </c>
      <c r="S24" s="33"/>
    </row>
    <row r="25" spans="1:19" ht="47.25">
      <c r="A25" s="23" t="s">
        <v>25</v>
      </c>
      <c r="B25" s="23" t="s">
        <v>26</v>
      </c>
      <c r="C25" s="23" t="s">
        <v>27</v>
      </c>
      <c r="D25" s="8" t="s">
        <v>28</v>
      </c>
      <c r="E25" s="26">
        <f t="shared" si="8"/>
        <v>79300</v>
      </c>
      <c r="F25" s="26">
        <f>50000+29300</f>
        <v>79300</v>
      </c>
      <c r="G25" s="26">
        <v>0</v>
      </c>
      <c r="H25" s="26">
        <v>0</v>
      </c>
      <c r="I25" s="26">
        <v>0</v>
      </c>
      <c r="J25" s="26">
        <f t="shared" si="9"/>
        <v>0</v>
      </c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f t="shared" si="0"/>
        <v>79300</v>
      </c>
      <c r="S25" s="33"/>
    </row>
    <row r="26" spans="1:19" ht="31.5">
      <c r="A26" s="23" t="s">
        <v>29</v>
      </c>
      <c r="B26" s="23" t="s">
        <v>30</v>
      </c>
      <c r="C26" s="23" t="s">
        <v>31</v>
      </c>
      <c r="D26" s="8" t="s">
        <v>32</v>
      </c>
      <c r="E26" s="26">
        <f t="shared" si="8"/>
        <v>3258400</v>
      </c>
      <c r="F26" s="26">
        <f>2570400-100000-99200+1000000-100000+206200-219000</f>
        <v>3258400</v>
      </c>
      <c r="G26" s="26">
        <v>0</v>
      </c>
      <c r="H26" s="26">
        <v>0</v>
      </c>
      <c r="I26" s="26">
        <v>0</v>
      </c>
      <c r="J26" s="26">
        <f t="shared" si="9"/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f t="shared" si="0"/>
        <v>3258400</v>
      </c>
      <c r="Q26" s="33"/>
      <c r="S26" s="33"/>
    </row>
    <row r="27" spans="1:19" ht="31.5">
      <c r="A27" s="23" t="s">
        <v>33</v>
      </c>
      <c r="B27" s="23" t="s">
        <v>34</v>
      </c>
      <c r="C27" s="23" t="s">
        <v>35</v>
      </c>
      <c r="D27" s="8" t="s">
        <v>36</v>
      </c>
      <c r="E27" s="26">
        <f t="shared" si="8"/>
        <v>47500949.950000003</v>
      </c>
      <c r="F27" s="26">
        <f>41453700+2000000+496561+825000+91718-555.86</f>
        <v>44866423.140000001</v>
      </c>
      <c r="G27" s="26">
        <v>0</v>
      </c>
      <c r="H27" s="26">
        <v>0</v>
      </c>
      <c r="I27" s="26">
        <f>1961974+561911+196918-22155-4052.66-60068.53</f>
        <v>2634526.81</v>
      </c>
      <c r="J27" s="26">
        <f t="shared" si="9"/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f t="shared" si="0"/>
        <v>47500949.950000003</v>
      </c>
      <c r="Q27" s="33"/>
      <c r="S27" s="33"/>
    </row>
    <row r="28" spans="1:19" ht="22.15" customHeight="1">
      <c r="A28" s="23" t="s">
        <v>37</v>
      </c>
      <c r="B28" s="23" t="s">
        <v>38</v>
      </c>
      <c r="C28" s="23" t="s">
        <v>39</v>
      </c>
      <c r="D28" s="8" t="s">
        <v>40</v>
      </c>
      <c r="E28" s="26">
        <f t="shared" si="8"/>
        <v>9215600</v>
      </c>
      <c r="F28" s="26">
        <v>9215600</v>
      </c>
      <c r="G28" s="26">
        <v>0</v>
      </c>
      <c r="H28" s="26">
        <v>0</v>
      </c>
      <c r="I28" s="26">
        <v>0</v>
      </c>
      <c r="J28" s="26">
        <f t="shared" si="9"/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f t="shared" si="0"/>
        <v>9215600</v>
      </c>
      <c r="S28" s="33"/>
    </row>
    <row r="29" spans="1:19" ht="72" customHeight="1">
      <c r="A29" s="23" t="s">
        <v>41</v>
      </c>
      <c r="B29" s="23" t="s">
        <v>42</v>
      </c>
      <c r="C29" s="23" t="s">
        <v>43</v>
      </c>
      <c r="D29" s="8" t="s">
        <v>44</v>
      </c>
      <c r="E29" s="26">
        <f t="shared" si="8"/>
        <v>4749400</v>
      </c>
      <c r="F29" s="26">
        <f>3792200-59800-2200+2200</f>
        <v>3732400</v>
      </c>
      <c r="G29" s="26">
        <v>0</v>
      </c>
      <c r="H29" s="26">
        <v>0</v>
      </c>
      <c r="I29" s="26">
        <f>1040000-23000</f>
        <v>1017000</v>
      </c>
      <c r="J29" s="26">
        <f t="shared" si="9"/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f t="shared" si="0"/>
        <v>4749400</v>
      </c>
      <c r="S29" s="33"/>
    </row>
    <row r="30" spans="1:19" ht="31.5">
      <c r="A30" s="23" t="s">
        <v>45</v>
      </c>
      <c r="B30" s="23" t="s">
        <v>46</v>
      </c>
      <c r="C30" s="23" t="s">
        <v>47</v>
      </c>
      <c r="D30" s="8" t="s">
        <v>48</v>
      </c>
      <c r="E30" s="26">
        <f t="shared" si="8"/>
        <v>11035859</v>
      </c>
      <c r="F30" s="26">
        <f>SUM(F31:F33)</f>
        <v>11035859</v>
      </c>
      <c r="G30" s="26">
        <v>0</v>
      </c>
      <c r="H30" s="26">
        <v>0</v>
      </c>
      <c r="I30" s="26">
        <v>0</v>
      </c>
      <c r="J30" s="26">
        <f t="shared" si="9"/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f t="shared" si="0"/>
        <v>11035859</v>
      </c>
      <c r="Q30" s="33"/>
      <c r="S30" s="33"/>
    </row>
    <row r="31" spans="1:19" s="5" customFormat="1" ht="60" customHeight="1">
      <c r="A31" s="9"/>
      <c r="B31" s="9"/>
      <c r="C31" s="9"/>
      <c r="D31" s="1" t="s">
        <v>287</v>
      </c>
      <c r="E31" s="28">
        <f t="shared" si="8"/>
        <v>1289319</v>
      </c>
      <c r="F31" s="28">
        <f>819200+230504+253460+22155-36000</f>
        <v>1289319</v>
      </c>
      <c r="G31" s="28"/>
      <c r="H31" s="28"/>
      <c r="I31" s="28"/>
      <c r="J31" s="28"/>
      <c r="K31" s="28"/>
      <c r="L31" s="28"/>
      <c r="M31" s="28"/>
      <c r="N31" s="28"/>
      <c r="O31" s="28"/>
      <c r="P31" s="28">
        <f t="shared" si="0"/>
        <v>1289319</v>
      </c>
      <c r="S31" s="33"/>
    </row>
    <row r="32" spans="1:19" s="5" customFormat="1" ht="87" customHeight="1">
      <c r="A32" s="9"/>
      <c r="B32" s="9"/>
      <c r="C32" s="9"/>
      <c r="D32" s="1" t="s">
        <v>285</v>
      </c>
      <c r="E32" s="28">
        <f t="shared" si="8"/>
        <v>6746540</v>
      </c>
      <c r="F32" s="28">
        <f>7000000-253460</f>
        <v>6746540</v>
      </c>
      <c r="G32" s="28"/>
      <c r="H32" s="28"/>
      <c r="I32" s="28"/>
      <c r="J32" s="28"/>
      <c r="K32" s="28"/>
      <c r="L32" s="28"/>
      <c r="M32" s="28"/>
      <c r="N32" s="28"/>
      <c r="O32" s="28"/>
      <c r="P32" s="28">
        <f t="shared" si="0"/>
        <v>6746540</v>
      </c>
      <c r="S32" s="33"/>
    </row>
    <row r="33" spans="1:19" s="5" customFormat="1" ht="74.25" customHeight="1">
      <c r="A33" s="9"/>
      <c r="B33" s="9"/>
      <c r="C33" s="9"/>
      <c r="D33" s="1" t="s">
        <v>288</v>
      </c>
      <c r="E33" s="28">
        <f t="shared" si="8"/>
        <v>3000000</v>
      </c>
      <c r="F33" s="28">
        <f>2500000+500000</f>
        <v>3000000</v>
      </c>
      <c r="G33" s="28"/>
      <c r="H33" s="28"/>
      <c r="I33" s="28"/>
      <c r="J33" s="28"/>
      <c r="K33" s="28"/>
      <c r="L33" s="28"/>
      <c r="M33" s="28"/>
      <c r="N33" s="28"/>
      <c r="O33" s="28"/>
      <c r="P33" s="28">
        <f t="shared" si="0"/>
        <v>3000000</v>
      </c>
      <c r="S33" s="33"/>
    </row>
    <row r="34" spans="1:19" ht="74.25" customHeight="1">
      <c r="A34" s="22" t="s">
        <v>353</v>
      </c>
      <c r="B34" s="22" t="s">
        <v>343</v>
      </c>
      <c r="C34" s="22" t="s">
        <v>47</v>
      </c>
      <c r="D34" s="8" t="s">
        <v>344</v>
      </c>
      <c r="E34" s="26">
        <f t="shared" si="8"/>
        <v>0</v>
      </c>
      <c r="F34" s="26"/>
      <c r="G34" s="26"/>
      <c r="H34" s="26"/>
      <c r="I34" s="26"/>
      <c r="J34" s="26">
        <f t="shared" si="9"/>
        <v>2333054</v>
      </c>
      <c r="K34" s="26">
        <f>196918+1068895+1264159-196918</f>
        <v>2333054</v>
      </c>
      <c r="L34" s="26"/>
      <c r="M34" s="26"/>
      <c r="N34" s="26"/>
      <c r="O34" s="26">
        <f>196918+1068895+1264159-196918</f>
        <v>2333054</v>
      </c>
      <c r="P34" s="26">
        <f t="shared" si="0"/>
        <v>2333054</v>
      </c>
      <c r="S34" s="33"/>
    </row>
    <row r="35" spans="1:19" ht="47.25">
      <c r="A35" s="23" t="s">
        <v>49</v>
      </c>
      <c r="B35" s="23" t="s">
        <v>50</v>
      </c>
      <c r="C35" s="23" t="s">
        <v>51</v>
      </c>
      <c r="D35" s="8" t="s">
        <v>345</v>
      </c>
      <c r="E35" s="26">
        <f t="shared" si="8"/>
        <v>3000000</v>
      </c>
      <c r="F35" s="26">
        <f>5000000-500000-1000000-500000</f>
        <v>3000000</v>
      </c>
      <c r="G35" s="26">
        <v>0</v>
      </c>
      <c r="H35" s="26">
        <v>0</v>
      </c>
      <c r="I35" s="26">
        <v>0</v>
      </c>
      <c r="J35" s="26">
        <f t="shared" si="9"/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f t="shared" si="0"/>
        <v>3000000</v>
      </c>
      <c r="S35" s="33"/>
    </row>
    <row r="36" spans="1:19" ht="31.5">
      <c r="A36" s="23" t="s">
        <v>52</v>
      </c>
      <c r="B36" s="23" t="s">
        <v>53</v>
      </c>
      <c r="C36" s="23" t="s">
        <v>54</v>
      </c>
      <c r="D36" s="8" t="s">
        <v>55</v>
      </c>
      <c r="E36" s="26">
        <f t="shared" si="8"/>
        <v>19755900</v>
      </c>
      <c r="F36" s="26">
        <f>SUM(F37:F40)</f>
        <v>18503900</v>
      </c>
      <c r="G36" s="26">
        <f t="shared" ref="G36:I36" si="10">SUM(G37:G40)</f>
        <v>0</v>
      </c>
      <c r="H36" s="26">
        <f t="shared" si="10"/>
        <v>0</v>
      </c>
      <c r="I36" s="26">
        <f t="shared" si="10"/>
        <v>1252000</v>
      </c>
      <c r="J36" s="26">
        <f t="shared" si="9"/>
        <v>0</v>
      </c>
      <c r="K36" s="26">
        <f>SUM(K37:K39)</f>
        <v>0</v>
      </c>
      <c r="L36" s="26">
        <f t="shared" ref="L36:O36" si="11">SUM(L37:L39)</f>
        <v>0</v>
      </c>
      <c r="M36" s="26">
        <f t="shared" si="11"/>
        <v>0</v>
      </c>
      <c r="N36" s="26">
        <f t="shared" si="11"/>
        <v>0</v>
      </c>
      <c r="O36" s="26">
        <f t="shared" si="11"/>
        <v>0</v>
      </c>
      <c r="P36" s="26">
        <f t="shared" si="0"/>
        <v>19755900</v>
      </c>
      <c r="S36" s="33"/>
    </row>
    <row r="37" spans="1:19" s="5" customFormat="1" ht="75.75" customHeight="1">
      <c r="A37" s="9"/>
      <c r="B37" s="9"/>
      <c r="C37" s="9"/>
      <c r="D37" s="1" t="s">
        <v>265</v>
      </c>
      <c r="E37" s="28">
        <f>F37+I37</f>
        <v>10987400</v>
      </c>
      <c r="F37" s="28">
        <f>8383700-1499000-101500+3499000+45200+690000-30000</f>
        <v>10987400</v>
      </c>
      <c r="G37" s="28"/>
      <c r="H37" s="28"/>
      <c r="I37" s="28">
        <f>1499000-1499000</f>
        <v>0</v>
      </c>
      <c r="J37" s="28">
        <f t="shared" si="9"/>
        <v>0</v>
      </c>
      <c r="K37" s="28"/>
      <c r="L37" s="28"/>
      <c r="M37" s="28"/>
      <c r="N37" s="28"/>
      <c r="O37" s="28"/>
      <c r="P37" s="28">
        <f t="shared" si="0"/>
        <v>10987400</v>
      </c>
      <c r="S37" s="33"/>
    </row>
    <row r="38" spans="1:19" s="5" customFormat="1" ht="72.75" customHeight="1">
      <c r="A38" s="9"/>
      <c r="B38" s="9"/>
      <c r="C38" s="9"/>
      <c r="D38" s="1" t="s">
        <v>266</v>
      </c>
      <c r="E38" s="28">
        <f t="shared" ref="E38:E40" si="12">F38+I38</f>
        <v>2731900</v>
      </c>
      <c r="F38" s="28">
        <f>3011900-200000-80000</f>
        <v>2731900</v>
      </c>
      <c r="G38" s="28"/>
      <c r="H38" s="28"/>
      <c r="I38" s="28"/>
      <c r="J38" s="28">
        <f t="shared" si="9"/>
        <v>0</v>
      </c>
      <c r="K38" s="28"/>
      <c r="L38" s="28"/>
      <c r="M38" s="28"/>
      <c r="N38" s="28"/>
      <c r="O38" s="28"/>
      <c r="P38" s="28">
        <f t="shared" si="0"/>
        <v>2731900</v>
      </c>
      <c r="S38" s="33"/>
    </row>
    <row r="39" spans="1:19" s="5" customFormat="1" ht="57" customHeight="1">
      <c r="A39" s="9"/>
      <c r="B39" s="9"/>
      <c r="C39" s="9"/>
      <c r="D39" s="1" t="s">
        <v>267</v>
      </c>
      <c r="E39" s="28">
        <f t="shared" si="12"/>
        <v>4784600</v>
      </c>
      <c r="F39" s="28">
        <f>5314600-370000-160000</f>
        <v>4784600</v>
      </c>
      <c r="G39" s="28"/>
      <c r="H39" s="28"/>
      <c r="I39" s="28"/>
      <c r="J39" s="28">
        <f t="shared" si="9"/>
        <v>0</v>
      </c>
      <c r="K39" s="28"/>
      <c r="L39" s="28"/>
      <c r="M39" s="28"/>
      <c r="N39" s="28"/>
      <c r="O39" s="28"/>
      <c r="P39" s="28">
        <f t="shared" si="0"/>
        <v>4784600</v>
      </c>
      <c r="S39" s="33"/>
    </row>
    <row r="40" spans="1:19" s="5" customFormat="1" ht="57" customHeight="1">
      <c r="A40" s="9"/>
      <c r="B40" s="9"/>
      <c r="C40" s="9"/>
      <c r="D40" s="1" t="s">
        <v>287</v>
      </c>
      <c r="E40" s="28">
        <f t="shared" si="12"/>
        <v>1252000</v>
      </c>
      <c r="F40" s="28"/>
      <c r="G40" s="28"/>
      <c r="H40" s="28"/>
      <c r="I40" s="28">
        <v>1252000</v>
      </c>
      <c r="J40" s="28"/>
      <c r="K40" s="28"/>
      <c r="L40" s="28"/>
      <c r="M40" s="28"/>
      <c r="N40" s="28"/>
      <c r="O40" s="28"/>
      <c r="P40" s="28">
        <f t="shared" si="0"/>
        <v>1252000</v>
      </c>
      <c r="S40" s="33"/>
    </row>
    <row r="41" spans="1:19" ht="56.25" customHeight="1">
      <c r="A41" s="22" t="s">
        <v>322</v>
      </c>
      <c r="B41" s="22" t="s">
        <v>323</v>
      </c>
      <c r="C41" s="22" t="s">
        <v>245</v>
      </c>
      <c r="D41" s="8" t="s">
        <v>324</v>
      </c>
      <c r="E41" s="26">
        <f t="shared" si="8"/>
        <v>80000</v>
      </c>
      <c r="F41" s="26">
        <v>80000</v>
      </c>
      <c r="G41" s="26"/>
      <c r="H41" s="26"/>
      <c r="I41" s="26"/>
      <c r="J41" s="26">
        <f t="shared" si="9"/>
        <v>344067</v>
      </c>
      <c r="K41" s="26">
        <f>5900000-4555933-1000000</f>
        <v>344067</v>
      </c>
      <c r="L41" s="26"/>
      <c r="M41" s="26"/>
      <c r="N41" s="26"/>
      <c r="O41" s="26">
        <f>5900000-4555933-1000000</f>
        <v>344067</v>
      </c>
      <c r="P41" s="26">
        <f t="shared" si="0"/>
        <v>424067</v>
      </c>
      <c r="S41" s="33"/>
    </row>
    <row r="42" spans="1:19" ht="39" customHeight="1">
      <c r="A42" s="22" t="s">
        <v>268</v>
      </c>
      <c r="B42" s="22" t="s">
        <v>269</v>
      </c>
      <c r="C42" s="22" t="s">
        <v>271</v>
      </c>
      <c r="D42" s="8" t="s">
        <v>270</v>
      </c>
      <c r="E42" s="26">
        <f t="shared" si="8"/>
        <v>1520289</v>
      </c>
      <c r="F42" s="26">
        <f>SUM(F43:F48)</f>
        <v>1206000</v>
      </c>
      <c r="G42" s="26">
        <f>SUM(G43:G48)</f>
        <v>0</v>
      </c>
      <c r="H42" s="26">
        <f>SUM(H43:H48)</f>
        <v>0</v>
      </c>
      <c r="I42" s="26">
        <f>SUM(I43:I48)</f>
        <v>314289</v>
      </c>
      <c r="J42" s="26">
        <f t="shared" si="9"/>
        <v>0</v>
      </c>
      <c r="K42" s="26">
        <f>SUM(K43:K48)</f>
        <v>0</v>
      </c>
      <c r="L42" s="26">
        <f>SUM(L43:L48)</f>
        <v>0</v>
      </c>
      <c r="M42" s="26">
        <f>SUM(M43:M48)</f>
        <v>0</v>
      </c>
      <c r="N42" s="26">
        <f>SUM(N43:N48)</f>
        <v>0</v>
      </c>
      <c r="O42" s="26">
        <f>SUM(O43:O48)</f>
        <v>0</v>
      </c>
      <c r="P42" s="26">
        <f t="shared" si="0"/>
        <v>1520289</v>
      </c>
      <c r="S42" s="33"/>
    </row>
    <row r="43" spans="1:19" ht="54.75" customHeight="1">
      <c r="A43" s="22"/>
      <c r="B43" s="22"/>
      <c r="C43" s="22"/>
      <c r="D43" s="1" t="s">
        <v>19</v>
      </c>
      <c r="E43" s="28">
        <f t="shared" si="8"/>
        <v>1200200</v>
      </c>
      <c r="F43" s="28">
        <f>1177200+12500-120500</f>
        <v>1069200</v>
      </c>
      <c r="G43" s="26"/>
      <c r="H43" s="26"/>
      <c r="I43" s="26">
        <f>170000-39000</f>
        <v>131000</v>
      </c>
      <c r="J43" s="26">
        <f>L43+O43</f>
        <v>0</v>
      </c>
      <c r="K43" s="26"/>
      <c r="L43" s="26"/>
      <c r="M43" s="26"/>
      <c r="N43" s="26"/>
      <c r="O43" s="26"/>
      <c r="P43" s="28">
        <f t="shared" si="0"/>
        <v>1200200</v>
      </c>
      <c r="S43" s="33"/>
    </row>
    <row r="44" spans="1:19" ht="74.25" customHeight="1">
      <c r="A44" s="22"/>
      <c r="B44" s="22"/>
      <c r="C44" s="22"/>
      <c r="D44" s="1" t="s">
        <v>265</v>
      </c>
      <c r="E44" s="28">
        <f t="shared" si="8"/>
        <v>71300</v>
      </c>
      <c r="F44" s="28">
        <v>11500</v>
      </c>
      <c r="G44" s="26"/>
      <c r="H44" s="26"/>
      <c r="I44" s="26">
        <v>59800</v>
      </c>
      <c r="J44" s="26">
        <f>L44+O44</f>
        <v>0</v>
      </c>
      <c r="K44" s="26"/>
      <c r="L44" s="26"/>
      <c r="M44" s="26"/>
      <c r="N44" s="26"/>
      <c r="O44" s="26"/>
      <c r="P44" s="28">
        <f t="shared" si="0"/>
        <v>71300</v>
      </c>
      <c r="S44" s="33"/>
    </row>
    <row r="45" spans="1:19" ht="72" customHeight="1">
      <c r="A45" s="22"/>
      <c r="B45" s="22"/>
      <c r="C45" s="22"/>
      <c r="D45" s="1" t="s">
        <v>266</v>
      </c>
      <c r="E45" s="28">
        <f t="shared" si="8"/>
        <v>20900</v>
      </c>
      <c r="F45" s="28">
        <v>20900</v>
      </c>
      <c r="G45" s="26"/>
      <c r="H45" s="26"/>
      <c r="I45" s="26"/>
      <c r="J45" s="26"/>
      <c r="K45" s="26"/>
      <c r="L45" s="26"/>
      <c r="M45" s="26"/>
      <c r="N45" s="26"/>
      <c r="O45" s="26"/>
      <c r="P45" s="28">
        <f t="shared" si="0"/>
        <v>20900</v>
      </c>
      <c r="S45" s="33"/>
    </row>
    <row r="46" spans="1:19" ht="72" customHeight="1">
      <c r="A46" s="22"/>
      <c r="B46" s="22"/>
      <c r="C46" s="22"/>
      <c r="D46" s="1" t="s">
        <v>267</v>
      </c>
      <c r="E46" s="28">
        <f t="shared" si="8"/>
        <v>11500</v>
      </c>
      <c r="F46" s="28">
        <v>11500</v>
      </c>
      <c r="G46" s="26"/>
      <c r="H46" s="26"/>
      <c r="I46" s="26"/>
      <c r="J46" s="26">
        <f t="shared" ref="J46:J50" si="13">L46+O46</f>
        <v>0</v>
      </c>
      <c r="K46" s="26"/>
      <c r="L46" s="26"/>
      <c r="M46" s="26"/>
      <c r="N46" s="26"/>
      <c r="O46" s="26"/>
      <c r="P46" s="28">
        <f t="shared" si="0"/>
        <v>11500</v>
      </c>
      <c r="S46" s="33"/>
    </row>
    <row r="47" spans="1:19" ht="93" customHeight="1">
      <c r="A47" s="22"/>
      <c r="B47" s="22"/>
      <c r="C47" s="22"/>
      <c r="D47" s="1" t="s">
        <v>285</v>
      </c>
      <c r="E47" s="28">
        <f t="shared" si="8"/>
        <v>123489</v>
      </c>
      <c r="F47" s="28"/>
      <c r="G47" s="26"/>
      <c r="H47" s="26"/>
      <c r="I47" s="28">
        <f>132900-9411</f>
        <v>123489</v>
      </c>
      <c r="J47" s="26">
        <f t="shared" si="13"/>
        <v>0</v>
      </c>
      <c r="K47" s="26"/>
      <c r="L47" s="26"/>
      <c r="M47" s="26"/>
      <c r="N47" s="26"/>
      <c r="O47" s="26"/>
      <c r="P47" s="28">
        <f t="shared" si="0"/>
        <v>123489</v>
      </c>
      <c r="S47" s="33"/>
    </row>
    <row r="48" spans="1:19" ht="53.25" customHeight="1">
      <c r="A48" s="22"/>
      <c r="B48" s="22"/>
      <c r="C48" s="22"/>
      <c r="D48" s="1" t="s">
        <v>286</v>
      </c>
      <c r="E48" s="28">
        <f t="shared" si="8"/>
        <v>92900</v>
      </c>
      <c r="F48" s="28">
        <f>125900-33000</f>
        <v>92900</v>
      </c>
      <c r="G48" s="26"/>
      <c r="H48" s="26"/>
      <c r="I48" s="26"/>
      <c r="J48" s="26">
        <f t="shared" si="13"/>
        <v>0</v>
      </c>
      <c r="K48" s="26"/>
      <c r="L48" s="26"/>
      <c r="M48" s="26"/>
      <c r="N48" s="26"/>
      <c r="O48" s="26"/>
      <c r="P48" s="28">
        <f t="shared" si="0"/>
        <v>92900</v>
      </c>
      <c r="S48" s="33"/>
    </row>
    <row r="49" spans="1:19" ht="53.25" customHeight="1">
      <c r="A49" s="22" t="s">
        <v>327</v>
      </c>
      <c r="B49" s="22" t="s">
        <v>328</v>
      </c>
      <c r="C49" s="22" t="s">
        <v>330</v>
      </c>
      <c r="D49" s="8" t="s">
        <v>329</v>
      </c>
      <c r="E49" s="26">
        <f>F49+I49</f>
        <v>500000</v>
      </c>
      <c r="F49" s="26"/>
      <c r="G49" s="26"/>
      <c r="H49" s="26"/>
      <c r="I49" s="26">
        <v>500000</v>
      </c>
      <c r="J49" s="26">
        <f t="shared" si="13"/>
        <v>0</v>
      </c>
      <c r="K49" s="26"/>
      <c r="L49" s="26"/>
      <c r="M49" s="26"/>
      <c r="N49" s="26"/>
      <c r="O49" s="26"/>
      <c r="P49" s="26">
        <f>E49 + J49</f>
        <v>500000</v>
      </c>
      <c r="S49" s="33"/>
    </row>
    <row r="50" spans="1:19" ht="39" customHeight="1">
      <c r="A50" s="22" t="s">
        <v>347</v>
      </c>
      <c r="B50" s="22" t="s">
        <v>348</v>
      </c>
      <c r="C50" s="22" t="s">
        <v>350</v>
      </c>
      <c r="D50" s="8" t="s">
        <v>349</v>
      </c>
      <c r="E50" s="26">
        <f>F50+I50</f>
        <v>374197</v>
      </c>
      <c r="F50" s="26"/>
      <c r="G50" s="26"/>
      <c r="H50" s="26"/>
      <c r="I50" s="26">
        <v>374197</v>
      </c>
      <c r="J50" s="26">
        <f t="shared" si="13"/>
        <v>0</v>
      </c>
      <c r="K50" s="26"/>
      <c r="L50" s="26"/>
      <c r="M50" s="26"/>
      <c r="N50" s="26"/>
      <c r="O50" s="26"/>
      <c r="P50" s="26">
        <f>E50 + J50</f>
        <v>374197</v>
      </c>
      <c r="S50" s="33"/>
    </row>
    <row r="51" spans="1:19" ht="31.5">
      <c r="A51" s="23" t="s">
        <v>56</v>
      </c>
      <c r="B51" s="23" t="s">
        <v>57</v>
      </c>
      <c r="C51" s="23" t="s">
        <v>58</v>
      </c>
      <c r="D51" s="8" t="s">
        <v>59</v>
      </c>
      <c r="E51" s="26">
        <f>F51+I51</f>
        <v>232000</v>
      </c>
      <c r="F51" s="26">
        <v>232000</v>
      </c>
      <c r="G51" s="26">
        <v>0</v>
      </c>
      <c r="H51" s="26">
        <v>0</v>
      </c>
      <c r="I51" s="26">
        <v>0</v>
      </c>
      <c r="J51" s="26">
        <f>L51+O51</f>
        <v>0</v>
      </c>
      <c r="K51" s="26">
        <v>0</v>
      </c>
      <c r="L51" s="26">
        <v>0</v>
      </c>
      <c r="M51" s="26">
        <v>0</v>
      </c>
      <c r="N51" s="26">
        <v>0</v>
      </c>
      <c r="O51" s="26">
        <v>0</v>
      </c>
      <c r="P51" s="26">
        <f>E51 + J51</f>
        <v>232000</v>
      </c>
      <c r="S51" s="33"/>
    </row>
    <row r="52" spans="1:19" ht="31.5">
      <c r="A52" s="22" t="s">
        <v>331</v>
      </c>
      <c r="B52" s="23">
        <v>7693</v>
      </c>
      <c r="C52" s="22" t="s">
        <v>58</v>
      </c>
      <c r="D52" s="8" t="s">
        <v>332</v>
      </c>
      <c r="E52" s="26">
        <f>F52+I52</f>
        <v>2168045</v>
      </c>
      <c r="F52" s="26">
        <f>154856938-977000-1040000-1500000-12000000-2000000-130430018-572350+470500-300000-1780025-60000-1600000-900000</f>
        <v>2168045</v>
      </c>
      <c r="G52" s="26"/>
      <c r="H52" s="26"/>
      <c r="I52" s="26"/>
      <c r="J52" s="26">
        <f>L52+O52</f>
        <v>0</v>
      </c>
      <c r="K52" s="26">
        <f>1734800-1734800</f>
        <v>0</v>
      </c>
      <c r="L52" s="26"/>
      <c r="M52" s="26"/>
      <c r="N52" s="26"/>
      <c r="O52" s="26">
        <f>1734800-1734800</f>
        <v>0</v>
      </c>
      <c r="P52" s="26">
        <f>E52 + J52</f>
        <v>2168045</v>
      </c>
      <c r="S52" s="33"/>
    </row>
    <row r="53" spans="1:19" ht="47.25">
      <c r="A53" s="22" t="s">
        <v>272</v>
      </c>
      <c r="B53" s="22">
        <v>8110</v>
      </c>
      <c r="C53" s="22" t="s">
        <v>229</v>
      </c>
      <c r="D53" s="8" t="s">
        <v>230</v>
      </c>
      <c r="E53" s="26">
        <f>F53+I53</f>
        <v>6944535.2000000002</v>
      </c>
      <c r="F53" s="26">
        <f>SUM(F54:F60)</f>
        <v>6944535.2000000002</v>
      </c>
      <c r="G53" s="26"/>
      <c r="H53" s="26"/>
      <c r="I53" s="26"/>
      <c r="J53" s="26"/>
      <c r="K53" s="26"/>
      <c r="L53" s="26"/>
      <c r="M53" s="26"/>
      <c r="N53" s="26"/>
      <c r="O53" s="26"/>
      <c r="P53" s="26">
        <f>E53 + J53</f>
        <v>6944535.2000000002</v>
      </c>
      <c r="S53" s="33"/>
    </row>
    <row r="54" spans="1:19" s="5" customFormat="1" ht="47.25">
      <c r="A54" s="11"/>
      <c r="B54" s="11"/>
      <c r="C54" s="11"/>
      <c r="D54" s="1" t="s">
        <v>19</v>
      </c>
      <c r="E54" s="28">
        <f t="shared" ref="E54:E58" si="14">F54+I54</f>
        <v>5488200</v>
      </c>
      <c r="F54" s="28">
        <f>301900+105000-64050+11000+15000+10496070-10496070+5500000-500000+119350</f>
        <v>5488200</v>
      </c>
      <c r="G54" s="28"/>
      <c r="H54" s="28"/>
      <c r="I54" s="28"/>
      <c r="J54" s="28"/>
      <c r="K54" s="28"/>
      <c r="L54" s="28"/>
      <c r="M54" s="28"/>
      <c r="N54" s="28"/>
      <c r="O54" s="28"/>
      <c r="P54" s="28">
        <f t="shared" ref="P54:P60" si="15">E54 + J54</f>
        <v>5488200</v>
      </c>
      <c r="S54" s="33"/>
    </row>
    <row r="55" spans="1:19" s="5" customFormat="1" ht="63">
      <c r="A55" s="11"/>
      <c r="B55" s="11"/>
      <c r="C55" s="11"/>
      <c r="D55" s="1" t="s">
        <v>265</v>
      </c>
      <c r="E55" s="28">
        <f t="shared" si="14"/>
        <v>116500</v>
      </c>
      <c r="F55" s="28">
        <f>15000+101500</f>
        <v>116500</v>
      </c>
      <c r="G55" s="28"/>
      <c r="H55" s="28"/>
      <c r="I55" s="28"/>
      <c r="J55" s="28"/>
      <c r="K55" s="28"/>
      <c r="L55" s="28"/>
      <c r="M55" s="28"/>
      <c r="N55" s="28"/>
      <c r="O55" s="28"/>
      <c r="P55" s="28">
        <f t="shared" si="15"/>
        <v>116500</v>
      </c>
      <c r="S55" s="33"/>
    </row>
    <row r="56" spans="1:19" s="5" customFormat="1" ht="63">
      <c r="A56" s="11"/>
      <c r="B56" s="11"/>
      <c r="C56" s="11"/>
      <c r="D56" s="1" t="s">
        <v>266</v>
      </c>
      <c r="E56" s="28">
        <f t="shared" si="14"/>
        <v>13000</v>
      </c>
      <c r="F56" s="28">
        <v>13000</v>
      </c>
      <c r="G56" s="28"/>
      <c r="H56" s="28"/>
      <c r="I56" s="28"/>
      <c r="J56" s="28"/>
      <c r="K56" s="28"/>
      <c r="L56" s="28"/>
      <c r="M56" s="28"/>
      <c r="N56" s="28"/>
      <c r="O56" s="28"/>
      <c r="P56" s="28">
        <f t="shared" si="15"/>
        <v>13000</v>
      </c>
      <c r="S56" s="33"/>
    </row>
    <row r="57" spans="1:19" s="5" customFormat="1" ht="63">
      <c r="A57" s="11"/>
      <c r="B57" s="11"/>
      <c r="C57" s="11"/>
      <c r="D57" s="1" t="s">
        <v>267</v>
      </c>
      <c r="E57" s="28">
        <f t="shared" si="14"/>
        <v>13000</v>
      </c>
      <c r="F57" s="28">
        <v>13000</v>
      </c>
      <c r="G57" s="28"/>
      <c r="H57" s="28"/>
      <c r="I57" s="28"/>
      <c r="J57" s="28"/>
      <c r="K57" s="28"/>
      <c r="L57" s="28"/>
      <c r="M57" s="28"/>
      <c r="N57" s="28"/>
      <c r="O57" s="28"/>
      <c r="P57" s="28">
        <f t="shared" si="15"/>
        <v>13000</v>
      </c>
      <c r="S57" s="33"/>
    </row>
    <row r="58" spans="1:19" s="5" customFormat="1" ht="47.25">
      <c r="A58" s="11"/>
      <c r="B58" s="11"/>
      <c r="C58" s="11"/>
      <c r="D58" s="1" t="s">
        <v>287</v>
      </c>
      <c r="E58" s="28">
        <f t="shared" si="14"/>
        <v>993235.2</v>
      </c>
      <c r="F58" s="28">
        <f>994500-1264.8</f>
        <v>993235.2</v>
      </c>
      <c r="G58" s="28"/>
      <c r="H58" s="28"/>
      <c r="I58" s="28"/>
      <c r="J58" s="28"/>
      <c r="K58" s="28"/>
      <c r="L58" s="28"/>
      <c r="M58" s="28"/>
      <c r="N58" s="28"/>
      <c r="O58" s="28"/>
      <c r="P58" s="28">
        <f t="shared" si="15"/>
        <v>993235.2</v>
      </c>
      <c r="S58" s="33"/>
    </row>
    <row r="59" spans="1:19" s="5" customFormat="1" ht="78.75">
      <c r="A59" s="11"/>
      <c r="B59" s="11"/>
      <c r="C59" s="11"/>
      <c r="D59" s="1" t="s">
        <v>285</v>
      </c>
      <c r="E59" s="28">
        <f>F59+I59</f>
        <v>267100</v>
      </c>
      <c r="F59" s="28">
        <v>267100</v>
      </c>
      <c r="G59" s="28"/>
      <c r="H59" s="28"/>
      <c r="I59" s="28"/>
      <c r="J59" s="28"/>
      <c r="K59" s="28"/>
      <c r="L59" s="28"/>
      <c r="M59" s="28"/>
      <c r="N59" s="28"/>
      <c r="O59" s="28"/>
      <c r="P59" s="28">
        <f t="shared" si="15"/>
        <v>267100</v>
      </c>
      <c r="S59" s="33"/>
    </row>
    <row r="60" spans="1:19" s="5" customFormat="1" ht="63">
      <c r="A60" s="11"/>
      <c r="B60" s="11"/>
      <c r="C60" s="11"/>
      <c r="D60" s="1" t="s">
        <v>288</v>
      </c>
      <c r="E60" s="28">
        <f>F60+I60</f>
        <v>53500</v>
      </c>
      <c r="F60" s="28">
        <v>53500</v>
      </c>
      <c r="G60" s="28"/>
      <c r="H60" s="28"/>
      <c r="I60" s="28"/>
      <c r="J60" s="28"/>
      <c r="K60" s="28"/>
      <c r="L60" s="28"/>
      <c r="M60" s="28"/>
      <c r="N60" s="28"/>
      <c r="O60" s="28"/>
      <c r="P60" s="28">
        <f t="shared" si="15"/>
        <v>53500</v>
      </c>
      <c r="S60" s="33"/>
    </row>
    <row r="61" spans="1:19" ht="31.5">
      <c r="A61" s="23" t="s">
        <v>60</v>
      </c>
      <c r="B61" s="23" t="s">
        <v>61</v>
      </c>
      <c r="C61" s="23" t="s">
        <v>62</v>
      </c>
      <c r="D61" s="8" t="s">
        <v>63</v>
      </c>
      <c r="E61" s="26">
        <f t="shared" si="8"/>
        <v>30077825</v>
      </c>
      <c r="F61" s="26">
        <f>26495000+1139000+1100000-556175+1000000+900000</f>
        <v>30077825</v>
      </c>
      <c r="G61" s="26">
        <f>23147800+1139000+1100000+1000000+900000</f>
        <v>27286800</v>
      </c>
      <c r="H61" s="26">
        <f>58500+7000</f>
        <v>65500</v>
      </c>
      <c r="I61" s="26">
        <v>0</v>
      </c>
      <c r="J61" s="26">
        <f t="shared" si="9"/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f t="shared" si="0"/>
        <v>30077825</v>
      </c>
      <c r="S61" s="33"/>
    </row>
    <row r="62" spans="1:19" ht="31.5">
      <c r="A62" s="23" t="s">
        <v>64</v>
      </c>
      <c r="B62" s="23" t="s">
        <v>65</v>
      </c>
      <c r="C62" s="23" t="s">
        <v>62</v>
      </c>
      <c r="D62" s="8" t="s">
        <v>66</v>
      </c>
      <c r="E62" s="26">
        <f t="shared" si="8"/>
        <v>873900</v>
      </c>
      <c r="F62" s="26">
        <v>873900</v>
      </c>
      <c r="G62" s="26">
        <v>0</v>
      </c>
      <c r="H62" s="26">
        <v>0</v>
      </c>
      <c r="I62" s="26">
        <v>0</v>
      </c>
      <c r="J62" s="26">
        <f t="shared" si="9"/>
        <v>0</v>
      </c>
      <c r="K62" s="26">
        <v>0</v>
      </c>
      <c r="L62" s="26">
        <v>0</v>
      </c>
      <c r="M62" s="26">
        <v>0</v>
      </c>
      <c r="N62" s="26">
        <v>0</v>
      </c>
      <c r="O62" s="26">
        <v>0</v>
      </c>
      <c r="P62" s="26">
        <f t="shared" si="0"/>
        <v>873900</v>
      </c>
      <c r="S62" s="33"/>
    </row>
    <row r="63" spans="1:19" ht="31.5">
      <c r="A63" s="23" t="s">
        <v>67</v>
      </c>
      <c r="B63" s="23" t="s">
        <v>68</v>
      </c>
      <c r="C63" s="23" t="s">
        <v>62</v>
      </c>
      <c r="D63" s="8" t="s">
        <v>69</v>
      </c>
      <c r="E63" s="26">
        <f t="shared" si="8"/>
        <v>4696305</v>
      </c>
      <c r="F63" s="26">
        <f>3336000+405280+355025+600000</f>
        <v>4696305</v>
      </c>
      <c r="G63" s="26">
        <v>0</v>
      </c>
      <c r="H63" s="26">
        <v>0</v>
      </c>
      <c r="I63" s="26">
        <f>556175-556175</f>
        <v>0</v>
      </c>
      <c r="J63" s="26">
        <f t="shared" si="9"/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f t="shared" si="0"/>
        <v>4696305</v>
      </c>
      <c r="S63" s="33"/>
    </row>
    <row r="64" spans="1:19" ht="31.5">
      <c r="A64" s="22" t="s">
        <v>351</v>
      </c>
      <c r="B64" s="22" t="s">
        <v>248</v>
      </c>
      <c r="C64" s="22" t="s">
        <v>62</v>
      </c>
      <c r="D64" s="8" t="s">
        <v>352</v>
      </c>
      <c r="E64" s="26">
        <f t="shared" si="8"/>
        <v>285480</v>
      </c>
      <c r="F64" s="26">
        <v>285480</v>
      </c>
      <c r="G64" s="26"/>
      <c r="H64" s="26"/>
      <c r="I64" s="26"/>
      <c r="J64" s="26">
        <f t="shared" si="9"/>
        <v>0</v>
      </c>
      <c r="K64" s="26"/>
      <c r="L64" s="26"/>
      <c r="M64" s="26"/>
      <c r="N64" s="26"/>
      <c r="O64" s="26"/>
      <c r="P64" s="26">
        <f t="shared" si="0"/>
        <v>285480</v>
      </c>
      <c r="S64" s="33"/>
    </row>
    <row r="65" spans="1:19" ht="31.5">
      <c r="A65" s="22" t="s">
        <v>264</v>
      </c>
      <c r="B65" s="23">
        <v>8340</v>
      </c>
      <c r="C65" s="23" t="s">
        <v>262</v>
      </c>
      <c r="D65" s="8" t="s">
        <v>263</v>
      </c>
      <c r="E65" s="26">
        <f t="shared" si="8"/>
        <v>0</v>
      </c>
      <c r="F65" s="26"/>
      <c r="G65" s="26"/>
      <c r="H65" s="26"/>
      <c r="I65" s="26"/>
      <c r="J65" s="26">
        <f t="shared" si="9"/>
        <v>100000</v>
      </c>
      <c r="K65" s="26"/>
      <c r="L65" s="26">
        <v>100000</v>
      </c>
      <c r="M65" s="26"/>
      <c r="N65" s="26"/>
      <c r="O65" s="26">
        <v>0</v>
      </c>
      <c r="P65" s="26">
        <f t="shared" si="0"/>
        <v>100000</v>
      </c>
      <c r="S65" s="33"/>
    </row>
    <row r="66" spans="1:19" ht="78.75">
      <c r="A66" s="22" t="s">
        <v>410</v>
      </c>
      <c r="B66" s="23">
        <v>8721</v>
      </c>
      <c r="C66" s="22" t="s">
        <v>47</v>
      </c>
      <c r="D66" s="8" t="s">
        <v>411</v>
      </c>
      <c r="E66" s="26">
        <f t="shared" si="8"/>
        <v>185000</v>
      </c>
      <c r="F66" s="26">
        <v>185000</v>
      </c>
      <c r="G66" s="26"/>
      <c r="H66" s="26"/>
      <c r="I66" s="26"/>
      <c r="J66" s="26"/>
      <c r="K66" s="26"/>
      <c r="L66" s="26"/>
      <c r="M66" s="26"/>
      <c r="N66" s="26"/>
      <c r="O66" s="26"/>
      <c r="P66" s="26">
        <f t="shared" si="0"/>
        <v>185000</v>
      </c>
      <c r="S66" s="33"/>
    </row>
    <row r="67" spans="1:19" s="12" customFormat="1" ht="78.75">
      <c r="A67" s="22" t="s">
        <v>414</v>
      </c>
      <c r="B67" s="23">
        <v>8733</v>
      </c>
      <c r="C67" s="22" t="s">
        <v>222</v>
      </c>
      <c r="D67" s="8" t="s">
        <v>415</v>
      </c>
      <c r="E67" s="36">
        <f t="shared" si="8"/>
        <v>1169825</v>
      </c>
      <c r="F67" s="37">
        <v>1169825</v>
      </c>
      <c r="G67" s="26"/>
      <c r="H67" s="26"/>
      <c r="I67" s="26"/>
      <c r="J67" s="26"/>
      <c r="K67" s="26"/>
      <c r="L67" s="26"/>
      <c r="M67" s="26"/>
      <c r="N67" s="26"/>
      <c r="O67" s="26"/>
      <c r="P67" s="26">
        <f t="shared" si="0"/>
        <v>1169825</v>
      </c>
      <c r="S67" s="34"/>
    </row>
    <row r="68" spans="1:19" s="12" customFormat="1" ht="102" customHeight="1">
      <c r="A68" s="22" t="s">
        <v>425</v>
      </c>
      <c r="B68" s="23">
        <v>8746</v>
      </c>
      <c r="C68" s="22" t="s">
        <v>291</v>
      </c>
      <c r="D68" s="35" t="s">
        <v>413</v>
      </c>
      <c r="E68" s="36">
        <f t="shared" si="8"/>
        <v>88925</v>
      </c>
      <c r="F68" s="37">
        <v>88925</v>
      </c>
      <c r="G68" s="26"/>
      <c r="H68" s="26"/>
      <c r="I68" s="26"/>
      <c r="J68" s="26"/>
      <c r="K68" s="26"/>
      <c r="L68" s="26"/>
      <c r="M68" s="26"/>
      <c r="N68" s="26"/>
      <c r="O68" s="26"/>
      <c r="P68" s="26">
        <f t="shared" si="0"/>
        <v>88925</v>
      </c>
      <c r="S68" s="34"/>
    </row>
    <row r="69" spans="1:19" ht="47.25">
      <c r="A69" s="6" t="s">
        <v>70</v>
      </c>
      <c r="B69" s="6" t="s">
        <v>18</v>
      </c>
      <c r="C69" s="6" t="s">
        <v>18</v>
      </c>
      <c r="D69" s="7" t="s">
        <v>71</v>
      </c>
      <c r="E69" s="25">
        <f>F69+I69</f>
        <v>647186293.00000012</v>
      </c>
      <c r="F69" s="25">
        <f>F70</f>
        <v>627573647.05000007</v>
      </c>
      <c r="G69" s="25">
        <f>G70</f>
        <v>456655820</v>
      </c>
      <c r="H69" s="25">
        <f>H70</f>
        <v>43078799.999999993</v>
      </c>
      <c r="I69" s="25">
        <f>I70</f>
        <v>19612645.949999999</v>
      </c>
      <c r="J69" s="25">
        <f>L69+O69</f>
        <v>21197874</v>
      </c>
      <c r="K69" s="25">
        <f>K70</f>
        <v>2285900</v>
      </c>
      <c r="L69" s="25">
        <f t="shared" ref="L69:O69" si="16">L70</f>
        <v>18911974</v>
      </c>
      <c r="M69" s="25">
        <f t="shared" si="16"/>
        <v>0</v>
      </c>
      <c r="N69" s="25">
        <f t="shared" si="16"/>
        <v>0</v>
      </c>
      <c r="O69" s="25">
        <f t="shared" si="16"/>
        <v>2285900</v>
      </c>
      <c r="P69" s="25">
        <f t="shared" si="0"/>
        <v>668384167.00000012</v>
      </c>
      <c r="Q69" s="33"/>
      <c r="S69" s="33"/>
    </row>
    <row r="70" spans="1:19" ht="47.25">
      <c r="A70" s="6" t="s">
        <v>72</v>
      </c>
      <c r="B70" s="6" t="s">
        <v>18</v>
      </c>
      <c r="C70" s="6" t="s">
        <v>18</v>
      </c>
      <c r="D70" s="7" t="s">
        <v>71</v>
      </c>
      <c r="E70" s="25">
        <f>F70+I70</f>
        <v>647186293.00000012</v>
      </c>
      <c r="F70" s="25">
        <f>SUM(F71:F100)-F78-F79</f>
        <v>627573647.05000007</v>
      </c>
      <c r="G70" s="25">
        <f>SUM(G71:G100)-G78-G79</f>
        <v>456655820</v>
      </c>
      <c r="H70" s="25">
        <f>SUM(H71:H100)-H78-H79</f>
        <v>43078799.999999993</v>
      </c>
      <c r="I70" s="25">
        <f>SUM(I71:I100)-I78-I79</f>
        <v>19612645.949999999</v>
      </c>
      <c r="J70" s="25">
        <f>L70+O70</f>
        <v>21197874</v>
      </c>
      <c r="K70" s="25">
        <f>SUM(K71:K100)-K78-K79</f>
        <v>2285900</v>
      </c>
      <c r="L70" s="25">
        <f>SUM(L71:L100)-L78-L79</f>
        <v>18911974</v>
      </c>
      <c r="M70" s="25">
        <f>SUM(M71:M100)-M78-M79</f>
        <v>0</v>
      </c>
      <c r="N70" s="25">
        <f>SUM(N71:N100)-N78-N79</f>
        <v>0</v>
      </c>
      <c r="O70" s="25">
        <f>SUM(O71:O100)-O78-O79</f>
        <v>2285900</v>
      </c>
      <c r="P70" s="25">
        <f>E70 + J70</f>
        <v>668384167.00000012</v>
      </c>
      <c r="S70" s="33"/>
    </row>
    <row r="71" spans="1:19" ht="55.5" customHeight="1">
      <c r="A71" s="23" t="s">
        <v>73</v>
      </c>
      <c r="B71" s="23" t="s">
        <v>74</v>
      </c>
      <c r="C71" s="23" t="s">
        <v>23</v>
      </c>
      <c r="D71" s="8" t="s">
        <v>75</v>
      </c>
      <c r="E71" s="26">
        <f>F71+I71</f>
        <v>7071541.3499999996</v>
      </c>
      <c r="F71" s="26">
        <f>6509700+3930.84-60389.49+618300</f>
        <v>7071541.3499999996</v>
      </c>
      <c r="G71" s="26">
        <f>6022100+618300</f>
        <v>6640400</v>
      </c>
      <c r="H71" s="26">
        <f>407800+3930.84-60389.49</f>
        <v>351341.35000000003</v>
      </c>
      <c r="I71" s="26">
        <v>0</v>
      </c>
      <c r="J71" s="26">
        <f>L71+O71</f>
        <v>0</v>
      </c>
      <c r="K71" s="26">
        <v>0</v>
      </c>
      <c r="L71" s="26">
        <v>0</v>
      </c>
      <c r="M71" s="26">
        <v>0</v>
      </c>
      <c r="N71" s="26">
        <v>0</v>
      </c>
      <c r="O71" s="26">
        <v>0</v>
      </c>
      <c r="P71" s="26">
        <f t="shared" si="0"/>
        <v>7071541.3499999996</v>
      </c>
      <c r="S71" s="33"/>
    </row>
    <row r="72" spans="1:19" ht="47.25">
      <c r="A72" s="22" t="s">
        <v>333</v>
      </c>
      <c r="B72" s="23" t="s">
        <v>26</v>
      </c>
      <c r="C72" s="23" t="s">
        <v>27</v>
      </c>
      <c r="D72" s="8" t="s">
        <v>28</v>
      </c>
      <c r="E72" s="26">
        <f t="shared" ref="E72" si="17">F72+I72</f>
        <v>2700</v>
      </c>
      <c r="F72" s="26">
        <v>2700</v>
      </c>
      <c r="G72" s="26">
        <v>0</v>
      </c>
      <c r="H72" s="26">
        <v>0</v>
      </c>
      <c r="I72" s="26">
        <v>0</v>
      </c>
      <c r="J72" s="26">
        <f t="shared" ref="J72" si="18">L72+O72</f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f t="shared" ref="P72" si="19">E72 + J72</f>
        <v>2700</v>
      </c>
      <c r="S72" s="33"/>
    </row>
    <row r="73" spans="1:19" ht="22.5" customHeight="1">
      <c r="A73" s="23" t="s">
        <v>76</v>
      </c>
      <c r="B73" s="23" t="s">
        <v>77</v>
      </c>
      <c r="C73" s="23" t="s">
        <v>78</v>
      </c>
      <c r="D73" s="8" t="s">
        <v>79</v>
      </c>
      <c r="E73" s="26">
        <f t="shared" ref="E73:E99" si="20">F73+I73</f>
        <v>110553245.87</v>
      </c>
      <c r="F73" s="26">
        <f>113243600-1727900-1300000+1727900-2110600+111410+1389551.25+483700-1058115.38-206300</f>
        <v>110553245.87</v>
      </c>
      <c r="G73" s="26">
        <f>85400000-2600000+111410</f>
        <v>82911410</v>
      </c>
      <c r="H73" s="26">
        <f>14999000+1489400+374551.25-1058115.38</f>
        <v>15804835.870000001</v>
      </c>
      <c r="I73" s="26">
        <v>0</v>
      </c>
      <c r="J73" s="26">
        <f t="shared" ref="J73:J100" si="21">L73+O73</f>
        <v>10286500</v>
      </c>
      <c r="K73" s="26">
        <v>0</v>
      </c>
      <c r="L73" s="26">
        <v>10286500</v>
      </c>
      <c r="M73" s="26">
        <v>0</v>
      </c>
      <c r="N73" s="26">
        <v>0</v>
      </c>
      <c r="O73" s="26">
        <v>0</v>
      </c>
      <c r="P73" s="26">
        <f t="shared" si="0"/>
        <v>120839745.87</v>
      </c>
      <c r="Q73" s="33"/>
      <c r="S73" s="33"/>
    </row>
    <row r="74" spans="1:19" ht="60.75" customHeight="1">
      <c r="A74" s="23" t="s">
        <v>80</v>
      </c>
      <c r="B74" s="23" t="s">
        <v>81</v>
      </c>
      <c r="C74" s="23" t="s">
        <v>82</v>
      </c>
      <c r="D74" s="8" t="s">
        <v>83</v>
      </c>
      <c r="E74" s="26">
        <f t="shared" si="20"/>
        <v>136926849.65000001</v>
      </c>
      <c r="F74" s="26">
        <f>130896400-5747800+1583000-326283+973745.05+214873+323342.18+959800+4900000+2354429.47-2500000+302088</f>
        <v>133933594.70000002</v>
      </c>
      <c r="G74" s="26">
        <f>39122800+15000000+214873+2658908</f>
        <v>56996581</v>
      </c>
      <c r="H74" s="26">
        <f>18380000+1583000+351481.36-1002139.18+2354429.47</f>
        <v>21666771.649999999</v>
      </c>
      <c r="I74" s="26">
        <f>2438000+1550000-973745.05-21000</f>
        <v>2993254.95</v>
      </c>
      <c r="J74" s="26">
        <f t="shared" si="21"/>
        <v>313499</v>
      </c>
      <c r="K74" s="26">
        <v>0</v>
      </c>
      <c r="L74" s="26">
        <v>313499</v>
      </c>
      <c r="M74" s="26">
        <v>0</v>
      </c>
      <c r="N74" s="26">
        <v>0</v>
      </c>
      <c r="O74" s="26">
        <v>0</v>
      </c>
      <c r="P74" s="26">
        <f t="shared" si="0"/>
        <v>137240348.65000001</v>
      </c>
      <c r="Q74" s="33"/>
      <c r="S74" s="33"/>
    </row>
    <row r="75" spans="1:19" ht="109.5" customHeight="1">
      <c r="A75" s="23" t="s">
        <v>84</v>
      </c>
      <c r="B75" s="23" t="s">
        <v>85</v>
      </c>
      <c r="C75" s="23" t="s">
        <v>86</v>
      </c>
      <c r="D75" s="8" t="s">
        <v>87</v>
      </c>
      <c r="E75" s="26">
        <f t="shared" si="20"/>
        <v>16004024.48</v>
      </c>
      <c r="F75" s="26">
        <f>15836500-712800-475000+98338.36+133700+1174621.12-51335</f>
        <v>16004024.48</v>
      </c>
      <c r="G75" s="26">
        <f>8200000+1100000+1690000</f>
        <v>10990000</v>
      </c>
      <c r="H75" s="26">
        <f>1606900+25000+48338.36-515378.88</f>
        <v>1164859.48</v>
      </c>
      <c r="I75" s="26">
        <v>0</v>
      </c>
      <c r="J75" s="26">
        <f t="shared" si="21"/>
        <v>0</v>
      </c>
      <c r="K75" s="26">
        <v>0</v>
      </c>
      <c r="L75" s="26">
        <v>0</v>
      </c>
      <c r="M75" s="26">
        <v>0</v>
      </c>
      <c r="N75" s="26">
        <v>0</v>
      </c>
      <c r="O75" s="26">
        <v>0</v>
      </c>
      <c r="P75" s="26">
        <f t="shared" si="0"/>
        <v>16004024.48</v>
      </c>
      <c r="Q75" s="33"/>
      <c r="S75" s="33"/>
    </row>
    <row r="76" spans="1:19" s="12" customFormat="1" ht="53.25" customHeight="1">
      <c r="A76" s="23" t="s">
        <v>88</v>
      </c>
      <c r="B76" s="23" t="s">
        <v>89</v>
      </c>
      <c r="C76" s="23" t="s">
        <v>82</v>
      </c>
      <c r="D76" s="8" t="s">
        <v>90</v>
      </c>
      <c r="E76" s="26">
        <f t="shared" si="20"/>
        <v>204358991.23000002</v>
      </c>
      <c r="F76" s="26">
        <f>F78+F79</f>
        <v>204358991.23000002</v>
      </c>
      <c r="G76" s="26">
        <f t="shared" ref="G76:I76" si="22">G78+G79</f>
        <v>204358991.23000002</v>
      </c>
      <c r="H76" s="26">
        <f t="shared" si="22"/>
        <v>0</v>
      </c>
      <c r="I76" s="26">
        <f t="shared" si="22"/>
        <v>0</v>
      </c>
      <c r="J76" s="26">
        <f t="shared" si="21"/>
        <v>0</v>
      </c>
      <c r="K76" s="26">
        <v>0</v>
      </c>
      <c r="L76" s="26">
        <v>0</v>
      </c>
      <c r="M76" s="26">
        <v>0</v>
      </c>
      <c r="N76" s="26">
        <v>0</v>
      </c>
      <c r="O76" s="26">
        <v>0</v>
      </c>
      <c r="P76" s="26">
        <f t="shared" si="0"/>
        <v>204358991.23000002</v>
      </c>
      <c r="Q76" s="34"/>
      <c r="S76" s="33"/>
    </row>
    <row r="77" spans="1:19" s="24" customFormat="1">
      <c r="A77" s="9"/>
      <c r="B77" s="9"/>
      <c r="C77" s="9"/>
      <c r="D77" s="1" t="s">
        <v>319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S77" s="33"/>
    </row>
    <row r="78" spans="1:19" s="24" customFormat="1" ht="31.5">
      <c r="A78" s="9"/>
      <c r="B78" s="9"/>
      <c r="C78" s="9"/>
      <c r="D78" s="1" t="s">
        <v>320</v>
      </c>
      <c r="E78" s="28">
        <f t="shared" ref="E78:E79" si="23">F78+I78</f>
        <v>203993791.23000002</v>
      </c>
      <c r="F78" s="28">
        <f>124668900+564891.23+78760000</f>
        <v>203993791.23000002</v>
      </c>
      <c r="G78" s="28">
        <f>124668900+564891.23+78760000</f>
        <v>203993791.23000002</v>
      </c>
      <c r="H78" s="28"/>
      <c r="I78" s="28"/>
      <c r="J78" s="28"/>
      <c r="K78" s="28"/>
      <c r="L78" s="28"/>
      <c r="M78" s="28"/>
      <c r="N78" s="28"/>
      <c r="O78" s="28"/>
      <c r="P78" s="28">
        <f t="shared" si="0"/>
        <v>203993791.23000002</v>
      </c>
      <c r="S78" s="33"/>
    </row>
    <row r="79" spans="1:19" s="24" customFormat="1" ht="31.5">
      <c r="A79" s="9"/>
      <c r="B79" s="9"/>
      <c r="C79" s="9"/>
      <c r="D79" s="1" t="s">
        <v>354</v>
      </c>
      <c r="E79" s="28">
        <f t="shared" si="23"/>
        <v>365200</v>
      </c>
      <c r="F79" s="28">
        <f>223664-364+141900</f>
        <v>365200</v>
      </c>
      <c r="G79" s="28">
        <f>223664-364+141900</f>
        <v>365200</v>
      </c>
      <c r="H79" s="28"/>
      <c r="I79" s="28"/>
      <c r="J79" s="28"/>
      <c r="K79" s="28"/>
      <c r="L79" s="28"/>
      <c r="M79" s="28"/>
      <c r="N79" s="28"/>
      <c r="O79" s="28"/>
      <c r="P79" s="28">
        <f t="shared" si="0"/>
        <v>365200</v>
      </c>
      <c r="S79" s="33"/>
    </row>
    <row r="80" spans="1:19" s="12" customFormat="1" ht="107.25" customHeight="1">
      <c r="A80" s="23" t="s">
        <v>91</v>
      </c>
      <c r="B80" s="23" t="s">
        <v>92</v>
      </c>
      <c r="C80" s="23" t="s">
        <v>86</v>
      </c>
      <c r="D80" s="8" t="s">
        <v>93</v>
      </c>
      <c r="E80" s="26">
        <f t="shared" si="20"/>
        <v>19448808.77</v>
      </c>
      <c r="F80" s="26">
        <f>12500000-564891.23+7513700</f>
        <v>19448808.77</v>
      </c>
      <c r="G80" s="26">
        <f>12500000-564891.23+7513700</f>
        <v>19448808.77</v>
      </c>
      <c r="H80" s="26">
        <v>0</v>
      </c>
      <c r="I80" s="26">
        <v>0</v>
      </c>
      <c r="J80" s="26">
        <f t="shared" si="21"/>
        <v>0</v>
      </c>
      <c r="K80" s="26">
        <v>0</v>
      </c>
      <c r="L80" s="26">
        <v>0</v>
      </c>
      <c r="M80" s="26">
        <v>0</v>
      </c>
      <c r="N80" s="26">
        <v>0</v>
      </c>
      <c r="O80" s="26">
        <v>0</v>
      </c>
      <c r="P80" s="26">
        <f t="shared" si="0"/>
        <v>19448808.77</v>
      </c>
      <c r="S80" s="33"/>
    </row>
    <row r="81" spans="1:19" ht="57" customHeight="1">
      <c r="A81" s="23" t="s">
        <v>94</v>
      </c>
      <c r="B81" s="23" t="s">
        <v>95</v>
      </c>
      <c r="C81" s="23" t="s">
        <v>96</v>
      </c>
      <c r="D81" s="8" t="s">
        <v>97</v>
      </c>
      <c r="E81" s="26">
        <f t="shared" si="20"/>
        <v>26005775.830000002</v>
      </c>
      <c r="F81" s="26">
        <f>23353200+2600+265459.1+115200+2303099.73-33783</f>
        <v>26005775.830000002</v>
      </c>
      <c r="G81" s="26">
        <f>19600000+2387700</f>
        <v>21987700</v>
      </c>
      <c r="H81" s="26">
        <f>1122500+2600+205459.1-84600.27</f>
        <v>1245958.83</v>
      </c>
      <c r="I81" s="26">
        <v>0</v>
      </c>
      <c r="J81" s="26">
        <f t="shared" si="21"/>
        <v>200000</v>
      </c>
      <c r="K81" s="26">
        <v>0</v>
      </c>
      <c r="L81" s="26">
        <v>200000</v>
      </c>
      <c r="M81" s="26">
        <v>0</v>
      </c>
      <c r="N81" s="26">
        <v>0</v>
      </c>
      <c r="O81" s="26">
        <v>0</v>
      </c>
      <c r="P81" s="26">
        <f t="shared" si="0"/>
        <v>26205775.830000002</v>
      </c>
      <c r="Q81" s="33"/>
      <c r="S81" s="33"/>
    </row>
    <row r="82" spans="1:19" ht="48.75" customHeight="1">
      <c r="A82" s="23" t="s">
        <v>98</v>
      </c>
      <c r="B82" s="23" t="s">
        <v>99</v>
      </c>
      <c r="C82" s="23" t="s">
        <v>100</v>
      </c>
      <c r="D82" s="8" t="s">
        <v>101</v>
      </c>
      <c r="E82" s="26">
        <f t="shared" si="20"/>
        <v>16500</v>
      </c>
      <c r="F82" s="26">
        <v>16500</v>
      </c>
      <c r="G82" s="26">
        <v>0</v>
      </c>
      <c r="H82" s="26">
        <v>0</v>
      </c>
      <c r="I82" s="26">
        <v>0</v>
      </c>
      <c r="J82" s="26">
        <f t="shared" si="21"/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f t="shared" si="0"/>
        <v>16500</v>
      </c>
      <c r="Q82" s="33"/>
      <c r="S82" s="33"/>
    </row>
    <row r="83" spans="1:19" ht="41.25" customHeight="1">
      <c r="A83" s="23" t="s">
        <v>102</v>
      </c>
      <c r="B83" s="23" t="s">
        <v>103</v>
      </c>
      <c r="C83" s="23" t="s">
        <v>104</v>
      </c>
      <c r="D83" s="8" t="s">
        <v>105</v>
      </c>
      <c r="E83" s="26">
        <f t="shared" si="20"/>
        <v>26945938.359999999</v>
      </c>
      <c r="F83" s="26">
        <f>20988600+406971.73+58400+4495029.63+1000000-3063</f>
        <v>26945938.359999999</v>
      </c>
      <c r="G83" s="26">
        <f>15470000+4869770</f>
        <v>20339770</v>
      </c>
      <c r="H83" s="26">
        <f>2173900+8971.73-374740.37</f>
        <v>1808131.3599999999</v>
      </c>
      <c r="I83" s="26"/>
      <c r="J83" s="26">
        <f t="shared" si="21"/>
        <v>1</v>
      </c>
      <c r="K83" s="26">
        <v>0</v>
      </c>
      <c r="L83" s="26">
        <v>1</v>
      </c>
      <c r="M83" s="26">
        <v>0</v>
      </c>
      <c r="N83" s="26">
        <v>0</v>
      </c>
      <c r="O83" s="26">
        <v>0</v>
      </c>
      <c r="P83" s="26">
        <f t="shared" si="0"/>
        <v>26945939.359999999</v>
      </c>
      <c r="S83" s="33"/>
    </row>
    <row r="84" spans="1:19" ht="60" customHeight="1">
      <c r="A84" s="23" t="s">
        <v>106</v>
      </c>
      <c r="B84" s="23" t="s">
        <v>107</v>
      </c>
      <c r="C84" s="23" t="s">
        <v>104</v>
      </c>
      <c r="D84" s="8" t="s">
        <v>108</v>
      </c>
      <c r="E84" s="26">
        <f t="shared" si="20"/>
        <v>704161.21</v>
      </c>
      <c r="F84" s="26">
        <f>707400+30002.88+3800-37041.67</f>
        <v>704161.21</v>
      </c>
      <c r="G84" s="26">
        <v>227200</v>
      </c>
      <c r="H84" s="26">
        <f>203600+2.88-37041.67</f>
        <v>166561.21000000002</v>
      </c>
      <c r="I84" s="26">
        <v>0</v>
      </c>
      <c r="J84" s="26">
        <f t="shared" si="21"/>
        <v>0</v>
      </c>
      <c r="K84" s="26">
        <v>0</v>
      </c>
      <c r="L84" s="26">
        <v>0</v>
      </c>
      <c r="M84" s="26">
        <v>0</v>
      </c>
      <c r="N84" s="26">
        <v>0</v>
      </c>
      <c r="O84" s="26">
        <v>0</v>
      </c>
      <c r="P84" s="26">
        <f t="shared" si="0"/>
        <v>704161.21</v>
      </c>
      <c r="Q84" s="33"/>
      <c r="S84" s="33"/>
    </row>
    <row r="85" spans="1:19" ht="60" customHeight="1">
      <c r="A85" s="22" t="s">
        <v>355</v>
      </c>
      <c r="B85" s="22" t="s">
        <v>356</v>
      </c>
      <c r="C85" s="22" t="s">
        <v>104</v>
      </c>
      <c r="D85" s="8" t="s">
        <v>357</v>
      </c>
      <c r="E85" s="26">
        <f t="shared" si="20"/>
        <v>1942759</v>
      </c>
      <c r="F85" s="26">
        <f>1234759+708000</f>
        <v>1942759</v>
      </c>
      <c r="G85" s="26">
        <f>1234759+708000</f>
        <v>1942759</v>
      </c>
      <c r="H85" s="26"/>
      <c r="I85" s="26"/>
      <c r="J85" s="26">
        <f t="shared" si="21"/>
        <v>0</v>
      </c>
      <c r="K85" s="26"/>
      <c r="L85" s="26"/>
      <c r="M85" s="26"/>
      <c r="N85" s="26"/>
      <c r="O85" s="26"/>
      <c r="P85" s="26">
        <f t="shared" si="0"/>
        <v>1942759</v>
      </c>
      <c r="S85" s="33"/>
    </row>
    <row r="86" spans="1:19" ht="60" customHeight="1">
      <c r="A86" s="23" t="s">
        <v>109</v>
      </c>
      <c r="B86" s="23" t="s">
        <v>110</v>
      </c>
      <c r="C86" s="23" t="s">
        <v>104</v>
      </c>
      <c r="D86" s="8" t="s">
        <v>111</v>
      </c>
      <c r="E86" s="26">
        <f t="shared" si="20"/>
        <v>4911846.5500000007</v>
      </c>
      <c r="F86" s="26">
        <f>4591700+6769.48+313377.07</f>
        <v>4911846.5500000007</v>
      </c>
      <c r="G86" s="26">
        <f>4179100+323900</f>
        <v>4503000</v>
      </c>
      <c r="H86" s="26">
        <f>44500+1769.48-10522.93</f>
        <v>35746.550000000003</v>
      </c>
      <c r="I86" s="26">
        <v>0</v>
      </c>
      <c r="J86" s="26">
        <f t="shared" si="21"/>
        <v>0</v>
      </c>
      <c r="K86" s="26">
        <v>0</v>
      </c>
      <c r="L86" s="26">
        <v>0</v>
      </c>
      <c r="M86" s="26">
        <v>0</v>
      </c>
      <c r="N86" s="26">
        <v>0</v>
      </c>
      <c r="O86" s="26">
        <v>0</v>
      </c>
      <c r="P86" s="26">
        <f t="shared" si="0"/>
        <v>4911846.5500000007</v>
      </c>
      <c r="S86" s="33"/>
    </row>
    <row r="87" spans="1:19" ht="126">
      <c r="A87" s="22" t="s">
        <v>396</v>
      </c>
      <c r="B87" s="22" t="s">
        <v>398</v>
      </c>
      <c r="C87" s="22" t="s">
        <v>104</v>
      </c>
      <c r="D87" s="8" t="s">
        <v>400</v>
      </c>
      <c r="E87" s="26">
        <f t="shared" si="20"/>
        <v>0</v>
      </c>
      <c r="F87" s="26"/>
      <c r="G87" s="26"/>
      <c r="H87" s="26"/>
      <c r="I87" s="26"/>
      <c r="J87" s="26">
        <f t="shared" si="21"/>
        <v>685800</v>
      </c>
      <c r="K87" s="26">
        <f>606500+79300</f>
        <v>685800</v>
      </c>
      <c r="L87" s="26"/>
      <c r="M87" s="26"/>
      <c r="N87" s="26"/>
      <c r="O87" s="26">
        <f>606500+79300</f>
        <v>685800</v>
      </c>
      <c r="P87" s="26">
        <f t="shared" si="0"/>
        <v>685800</v>
      </c>
      <c r="S87" s="33"/>
    </row>
    <row r="88" spans="1:19" ht="126">
      <c r="A88" s="22" t="s">
        <v>397</v>
      </c>
      <c r="B88" s="22" t="s">
        <v>399</v>
      </c>
      <c r="C88" s="22" t="s">
        <v>104</v>
      </c>
      <c r="D88" s="8" t="s">
        <v>401</v>
      </c>
      <c r="E88" s="26">
        <f t="shared" si="20"/>
        <v>0</v>
      </c>
      <c r="F88" s="26"/>
      <c r="G88" s="26"/>
      <c r="H88" s="26"/>
      <c r="I88" s="26"/>
      <c r="J88" s="26">
        <f t="shared" si="21"/>
        <v>1600100</v>
      </c>
      <c r="K88" s="26">
        <f>1415100+185000</f>
        <v>1600100</v>
      </c>
      <c r="L88" s="26"/>
      <c r="M88" s="26"/>
      <c r="N88" s="26"/>
      <c r="O88" s="26">
        <f>1415100+185000</f>
        <v>1600100</v>
      </c>
      <c r="P88" s="26">
        <f t="shared" si="0"/>
        <v>1600100</v>
      </c>
      <c r="S88" s="33"/>
    </row>
    <row r="89" spans="1:19" ht="126.6" customHeight="1">
      <c r="A89" s="22" t="s">
        <v>394</v>
      </c>
      <c r="B89" s="23">
        <v>1200</v>
      </c>
      <c r="C89" s="22" t="s">
        <v>104</v>
      </c>
      <c r="D89" s="8" t="s">
        <v>395</v>
      </c>
      <c r="E89" s="26">
        <f t="shared" si="20"/>
        <v>625200</v>
      </c>
      <c r="F89" s="26">
        <f>327700+297500</f>
        <v>625200</v>
      </c>
      <c r="G89" s="26"/>
      <c r="H89" s="26"/>
      <c r="I89" s="26"/>
      <c r="J89" s="26">
        <f t="shared" si="21"/>
        <v>0</v>
      </c>
      <c r="K89" s="26"/>
      <c r="L89" s="26"/>
      <c r="M89" s="26"/>
      <c r="N89" s="26"/>
      <c r="O89" s="26"/>
      <c r="P89" s="26">
        <f t="shared" si="0"/>
        <v>625200</v>
      </c>
      <c r="S89" s="33"/>
    </row>
    <row r="90" spans="1:19" ht="111" customHeight="1">
      <c r="A90" s="22" t="s">
        <v>358</v>
      </c>
      <c r="B90" s="22" t="s">
        <v>359</v>
      </c>
      <c r="C90" s="22" t="s">
        <v>104</v>
      </c>
      <c r="D90" s="8" t="s">
        <v>360</v>
      </c>
      <c r="E90" s="26">
        <f t="shared" si="20"/>
        <v>0</v>
      </c>
      <c r="F90" s="26"/>
      <c r="G90" s="26"/>
      <c r="H90" s="26"/>
      <c r="I90" s="26"/>
      <c r="J90" s="26">
        <f t="shared" si="21"/>
        <v>4508100</v>
      </c>
      <c r="K90" s="26"/>
      <c r="L90" s="26">
        <v>4508100</v>
      </c>
      <c r="M90" s="26"/>
      <c r="N90" s="26"/>
      <c r="O90" s="26"/>
      <c r="P90" s="26">
        <f t="shared" si="0"/>
        <v>4508100</v>
      </c>
      <c r="S90" s="33"/>
    </row>
    <row r="91" spans="1:19" ht="111" customHeight="1">
      <c r="A91" s="22" t="s">
        <v>428</v>
      </c>
      <c r="B91" s="22" t="s">
        <v>430</v>
      </c>
      <c r="C91" s="22" t="s">
        <v>104</v>
      </c>
      <c r="D91" s="38" t="s">
        <v>429</v>
      </c>
      <c r="E91" s="26">
        <f>F91+I91</f>
        <v>1463111</v>
      </c>
      <c r="F91" s="26">
        <v>83850</v>
      </c>
      <c r="G91" s="26"/>
      <c r="H91" s="26"/>
      <c r="I91" s="26">
        <f>998000+381261</f>
        <v>1379261</v>
      </c>
      <c r="J91" s="26">
        <f>L91+O91</f>
        <v>0</v>
      </c>
      <c r="K91" s="26"/>
      <c r="L91" s="26"/>
      <c r="M91" s="26"/>
      <c r="N91" s="26"/>
      <c r="O91" s="26"/>
      <c r="P91" s="26">
        <f>E91+J91</f>
        <v>1463111</v>
      </c>
      <c r="S91" s="33"/>
    </row>
    <row r="92" spans="1:19" s="12" customFormat="1" ht="78.75">
      <c r="A92" s="22" t="s">
        <v>416</v>
      </c>
      <c r="B92" s="22" t="s">
        <v>417</v>
      </c>
      <c r="C92" s="22" t="s">
        <v>104</v>
      </c>
      <c r="D92" s="8" t="s">
        <v>418</v>
      </c>
      <c r="E92" s="26"/>
      <c r="F92" s="26"/>
      <c r="G92" s="26"/>
      <c r="H92" s="26"/>
      <c r="I92" s="26"/>
      <c r="J92" s="26">
        <f t="shared" si="21"/>
        <v>1090544</v>
      </c>
      <c r="K92" s="26"/>
      <c r="L92" s="26">
        <v>1090544</v>
      </c>
      <c r="M92" s="26"/>
      <c r="N92" s="26"/>
      <c r="O92" s="26"/>
      <c r="P92" s="26">
        <f t="shared" si="0"/>
        <v>1090544</v>
      </c>
      <c r="S92" s="34"/>
    </row>
    <row r="93" spans="1:19" ht="76.150000000000006" customHeight="1">
      <c r="A93" s="22" t="s">
        <v>362</v>
      </c>
      <c r="B93" s="22" t="s">
        <v>363</v>
      </c>
      <c r="C93" s="22" t="s">
        <v>104</v>
      </c>
      <c r="D93" s="8" t="s">
        <v>364</v>
      </c>
      <c r="E93" s="26">
        <f t="shared" si="20"/>
        <v>14752000</v>
      </c>
      <c r="F93" s="26">
        <f>15857800-1105800</f>
        <v>14752000</v>
      </c>
      <c r="G93" s="26">
        <f>15857800-1105800</f>
        <v>14752000</v>
      </c>
      <c r="H93" s="26"/>
      <c r="I93" s="26"/>
      <c r="J93" s="26">
        <f t="shared" si="21"/>
        <v>0</v>
      </c>
      <c r="K93" s="26"/>
      <c r="L93" s="26"/>
      <c r="M93" s="26"/>
      <c r="N93" s="26"/>
      <c r="O93" s="26"/>
      <c r="P93" s="26">
        <f t="shared" si="0"/>
        <v>14752000</v>
      </c>
      <c r="S93" s="33"/>
    </row>
    <row r="94" spans="1:19" ht="102" customHeight="1">
      <c r="A94" s="22" t="s">
        <v>365</v>
      </c>
      <c r="B94" s="22" t="s">
        <v>366</v>
      </c>
      <c r="C94" s="22" t="s">
        <v>104</v>
      </c>
      <c r="D94" s="8" t="s">
        <v>367</v>
      </c>
      <c r="E94" s="26">
        <f t="shared" si="20"/>
        <v>0</v>
      </c>
      <c r="F94" s="26"/>
      <c r="G94" s="26"/>
      <c r="H94" s="26"/>
      <c r="I94" s="26"/>
      <c r="J94" s="26">
        <f t="shared" si="21"/>
        <v>2513330</v>
      </c>
      <c r="K94" s="26"/>
      <c r="L94" s="26">
        <v>2513330</v>
      </c>
      <c r="M94" s="26"/>
      <c r="N94" s="26"/>
      <c r="O94" s="26"/>
      <c r="P94" s="26">
        <f t="shared" si="0"/>
        <v>2513330</v>
      </c>
      <c r="S94" s="33"/>
    </row>
    <row r="95" spans="1:19" ht="60" customHeight="1">
      <c r="A95" s="22" t="s">
        <v>368</v>
      </c>
      <c r="B95" s="22" t="s">
        <v>369</v>
      </c>
      <c r="C95" s="22" t="s">
        <v>104</v>
      </c>
      <c r="D95" s="8" t="s">
        <v>370</v>
      </c>
      <c r="E95" s="26">
        <f t="shared" si="20"/>
        <v>37711500</v>
      </c>
      <c r="F95" s="26">
        <f>29075900+7446000+1189600</f>
        <v>37711500</v>
      </c>
      <c r="G95" s="26"/>
      <c r="H95" s="26"/>
      <c r="I95" s="26"/>
      <c r="J95" s="26">
        <f t="shared" si="21"/>
        <v>0</v>
      </c>
      <c r="K95" s="26"/>
      <c r="L95" s="26"/>
      <c r="M95" s="26"/>
      <c r="N95" s="26"/>
      <c r="O95" s="26"/>
      <c r="P95" s="26">
        <f t="shared" si="0"/>
        <v>37711500</v>
      </c>
      <c r="S95" s="33"/>
    </row>
    <row r="96" spans="1:19" ht="100.5" customHeight="1">
      <c r="A96" s="23" t="s">
        <v>112</v>
      </c>
      <c r="B96" s="23" t="s">
        <v>113</v>
      </c>
      <c r="C96" s="23" t="s">
        <v>114</v>
      </c>
      <c r="D96" s="8" t="s">
        <v>115</v>
      </c>
      <c r="E96" s="26">
        <f t="shared" si="20"/>
        <v>2415873</v>
      </c>
      <c r="F96" s="26">
        <f>3220000-79300-724827</f>
        <v>2415873</v>
      </c>
      <c r="G96" s="26">
        <v>0</v>
      </c>
      <c r="H96" s="27">
        <v>0</v>
      </c>
      <c r="I96" s="26">
        <v>0</v>
      </c>
      <c r="J96" s="26">
        <f t="shared" si="21"/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f t="shared" si="0"/>
        <v>2415873</v>
      </c>
      <c r="S96" s="33"/>
    </row>
    <row r="97" spans="1:19" ht="47.25">
      <c r="A97" s="23" t="s">
        <v>116</v>
      </c>
      <c r="B97" s="23" t="s">
        <v>50</v>
      </c>
      <c r="C97" s="23" t="s">
        <v>51</v>
      </c>
      <c r="D97" s="8" t="s">
        <v>345</v>
      </c>
      <c r="E97" s="26">
        <f t="shared" si="20"/>
        <v>723100</v>
      </c>
      <c r="F97" s="26">
        <v>723100</v>
      </c>
      <c r="G97" s="26">
        <v>0</v>
      </c>
      <c r="H97" s="26">
        <v>0</v>
      </c>
      <c r="I97" s="26">
        <v>0</v>
      </c>
      <c r="J97" s="26">
        <f t="shared" si="21"/>
        <v>0</v>
      </c>
      <c r="K97" s="26">
        <v>0</v>
      </c>
      <c r="L97" s="26">
        <v>0</v>
      </c>
      <c r="M97" s="26">
        <v>0</v>
      </c>
      <c r="N97" s="26">
        <v>0</v>
      </c>
      <c r="O97" s="26">
        <v>0</v>
      </c>
      <c r="P97" s="26">
        <f t="shared" si="0"/>
        <v>723100</v>
      </c>
      <c r="S97" s="33"/>
    </row>
    <row r="98" spans="1:19" ht="74.25" customHeight="1">
      <c r="A98" s="23" t="s">
        <v>117</v>
      </c>
      <c r="B98" s="23" t="s">
        <v>118</v>
      </c>
      <c r="C98" s="23" t="s">
        <v>119</v>
      </c>
      <c r="D98" s="8" t="s">
        <v>318</v>
      </c>
      <c r="E98" s="26">
        <f t="shared" si="20"/>
        <v>14489786.699999999</v>
      </c>
      <c r="F98" s="26">
        <f>14415000+250634.18+45400-213640.48-7607</f>
        <v>14489786.699999999</v>
      </c>
      <c r="G98" s="26">
        <v>11557200</v>
      </c>
      <c r="H98" s="26">
        <f>1040600+7634.18-213640.48</f>
        <v>834593.70000000007</v>
      </c>
      <c r="I98" s="26">
        <v>0</v>
      </c>
      <c r="J98" s="26">
        <f t="shared" si="21"/>
        <v>0</v>
      </c>
      <c r="K98" s="26">
        <v>0</v>
      </c>
      <c r="L98" s="26">
        <v>0</v>
      </c>
      <c r="M98" s="26">
        <v>0</v>
      </c>
      <c r="N98" s="26">
        <v>0</v>
      </c>
      <c r="O98" s="26">
        <v>0</v>
      </c>
      <c r="P98" s="26">
        <f t="shared" ref="P98:P169" si="24">E98 + J98</f>
        <v>14489786.699999999</v>
      </c>
      <c r="S98" s="33"/>
    </row>
    <row r="99" spans="1:19" ht="35.25" customHeight="1">
      <c r="A99" s="22" t="s">
        <v>273</v>
      </c>
      <c r="B99" s="22" t="s">
        <v>269</v>
      </c>
      <c r="C99" s="22" t="s">
        <v>271</v>
      </c>
      <c r="D99" s="8" t="s">
        <v>270</v>
      </c>
      <c r="E99" s="26">
        <f t="shared" si="20"/>
        <v>2729900</v>
      </c>
      <c r="F99" s="26">
        <f>1929900+500000+300000</f>
        <v>2729900</v>
      </c>
      <c r="G99" s="26"/>
      <c r="H99" s="26"/>
      <c r="I99" s="26"/>
      <c r="J99" s="26">
        <f t="shared" si="21"/>
        <v>0</v>
      </c>
      <c r="K99" s="26"/>
      <c r="L99" s="26"/>
      <c r="M99" s="26"/>
      <c r="N99" s="26"/>
      <c r="O99" s="26"/>
      <c r="P99" s="26">
        <f t="shared" si="24"/>
        <v>2729900</v>
      </c>
      <c r="S99" s="33"/>
    </row>
    <row r="100" spans="1:19" ht="54.75" customHeight="1">
      <c r="A100" s="22" t="s">
        <v>274</v>
      </c>
      <c r="B100" s="22">
        <v>8110</v>
      </c>
      <c r="C100" s="22" t="s">
        <v>229</v>
      </c>
      <c r="D100" s="8" t="s">
        <v>230</v>
      </c>
      <c r="E100" s="26">
        <f>F100+I100</f>
        <v>17382680</v>
      </c>
      <c r="F100" s="26">
        <f>667550+1300000+75000+100000</f>
        <v>2142550</v>
      </c>
      <c r="G100" s="26"/>
      <c r="H100" s="26"/>
      <c r="I100" s="26">
        <f>6694750-606500-1780000+9300000+3500000-768120-1100000</f>
        <v>15240130</v>
      </c>
      <c r="J100" s="26">
        <f t="shared" si="21"/>
        <v>0</v>
      </c>
      <c r="K100" s="26">
        <v>0</v>
      </c>
      <c r="L100" s="26"/>
      <c r="M100" s="26"/>
      <c r="N100" s="26"/>
      <c r="O100" s="26">
        <v>0</v>
      </c>
      <c r="P100" s="26">
        <f>E100 + J100</f>
        <v>17382680</v>
      </c>
      <c r="S100" s="33"/>
    </row>
    <row r="101" spans="1:19" ht="58.5" customHeight="1">
      <c r="A101" s="6" t="s">
        <v>120</v>
      </c>
      <c r="B101" s="6" t="s">
        <v>18</v>
      </c>
      <c r="C101" s="6" t="s">
        <v>18</v>
      </c>
      <c r="D101" s="7" t="s">
        <v>121</v>
      </c>
      <c r="E101" s="25">
        <f>F101+I101</f>
        <v>151189761</v>
      </c>
      <c r="F101" s="25">
        <f>F102</f>
        <v>133196739</v>
      </c>
      <c r="G101" s="25">
        <f>G102</f>
        <v>56947720</v>
      </c>
      <c r="H101" s="25">
        <f>H102</f>
        <v>1162316.52</v>
      </c>
      <c r="I101" s="25">
        <f>I102</f>
        <v>17993022</v>
      </c>
      <c r="J101" s="25">
        <f>L101+O101</f>
        <v>180000</v>
      </c>
      <c r="K101" s="25">
        <f>K102</f>
        <v>0</v>
      </c>
      <c r="L101" s="25">
        <f t="shared" ref="L101:O101" si="25">L102</f>
        <v>55000</v>
      </c>
      <c r="M101" s="25">
        <f t="shared" si="25"/>
        <v>0</v>
      </c>
      <c r="N101" s="25">
        <f t="shared" si="25"/>
        <v>0</v>
      </c>
      <c r="O101" s="25">
        <f t="shared" si="25"/>
        <v>125000</v>
      </c>
      <c r="P101" s="25">
        <f t="shared" si="24"/>
        <v>151369761</v>
      </c>
      <c r="Q101" s="33"/>
      <c r="S101" s="33"/>
    </row>
    <row r="102" spans="1:19" ht="60.75" customHeight="1">
      <c r="A102" s="6" t="s">
        <v>122</v>
      </c>
      <c r="B102" s="6" t="s">
        <v>18</v>
      </c>
      <c r="C102" s="6" t="s">
        <v>18</v>
      </c>
      <c r="D102" s="7" t="s">
        <v>121</v>
      </c>
      <c r="E102" s="25">
        <f>F102+I102</f>
        <v>151189761</v>
      </c>
      <c r="F102" s="25">
        <f>SUM(F103:F124)+F128</f>
        <v>133196739</v>
      </c>
      <c r="G102" s="25">
        <f t="shared" ref="G102:K102" si="26">SUM(G103:G124)+G128</f>
        <v>56947720</v>
      </c>
      <c r="H102" s="25">
        <f t="shared" si="26"/>
        <v>1162316.52</v>
      </c>
      <c r="I102" s="25">
        <f t="shared" si="26"/>
        <v>17993022</v>
      </c>
      <c r="J102" s="25">
        <f>L102+O102</f>
        <v>180000</v>
      </c>
      <c r="K102" s="25">
        <f t="shared" si="26"/>
        <v>0</v>
      </c>
      <c r="L102" s="25">
        <f t="shared" ref="L102" si="27">SUM(L103:L124)+L128</f>
        <v>55000</v>
      </c>
      <c r="M102" s="25">
        <f t="shared" ref="M102" si="28">SUM(M103:M124)+M128</f>
        <v>0</v>
      </c>
      <c r="N102" s="25">
        <f t="shared" ref="N102" si="29">SUM(N103:N124)+N128</f>
        <v>0</v>
      </c>
      <c r="O102" s="25">
        <f t="shared" ref="O102" si="30">SUM(O103:O124)+O128</f>
        <v>125000</v>
      </c>
      <c r="P102" s="25">
        <f t="shared" si="24"/>
        <v>151369761</v>
      </c>
      <c r="S102" s="33"/>
    </row>
    <row r="103" spans="1:19" ht="69.75" customHeight="1">
      <c r="A103" s="23" t="s">
        <v>123</v>
      </c>
      <c r="B103" s="23" t="s">
        <v>74</v>
      </c>
      <c r="C103" s="23" t="s">
        <v>23</v>
      </c>
      <c r="D103" s="8" t="s">
        <v>75</v>
      </c>
      <c r="E103" s="26">
        <f>F103+I103</f>
        <v>23072600</v>
      </c>
      <c r="F103" s="26">
        <f>23512500-439900</f>
        <v>23072600</v>
      </c>
      <c r="G103" s="26">
        <f>22122300-439900</f>
        <v>21682400</v>
      </c>
      <c r="H103" s="26">
        <v>934000</v>
      </c>
      <c r="I103" s="26">
        <v>0</v>
      </c>
      <c r="J103" s="26">
        <f>L103+O103</f>
        <v>0</v>
      </c>
      <c r="K103" s="26">
        <v>0</v>
      </c>
      <c r="L103" s="26">
        <v>0</v>
      </c>
      <c r="M103" s="26">
        <v>0</v>
      </c>
      <c r="N103" s="26">
        <v>0</v>
      </c>
      <c r="O103" s="26">
        <v>0</v>
      </c>
      <c r="P103" s="26">
        <f t="shared" si="24"/>
        <v>23072600</v>
      </c>
      <c r="S103" s="33"/>
    </row>
    <row r="104" spans="1:19" ht="47.25">
      <c r="A104" s="22" t="s">
        <v>334</v>
      </c>
      <c r="B104" s="23" t="s">
        <v>26</v>
      </c>
      <c r="C104" s="23" t="s">
        <v>27</v>
      </c>
      <c r="D104" s="8" t="s">
        <v>28</v>
      </c>
      <c r="E104" s="26">
        <f t="shared" ref="E104" si="31">F104+I104</f>
        <v>9000</v>
      </c>
      <c r="F104" s="26">
        <v>9000</v>
      </c>
      <c r="G104" s="26">
        <v>0</v>
      </c>
      <c r="H104" s="26">
        <v>0</v>
      </c>
      <c r="I104" s="26">
        <v>0</v>
      </c>
      <c r="J104" s="26">
        <f t="shared" ref="J104" si="32">L104+O104</f>
        <v>0</v>
      </c>
      <c r="K104" s="26">
        <v>0</v>
      </c>
      <c r="L104" s="26">
        <v>0</v>
      </c>
      <c r="M104" s="26">
        <v>0</v>
      </c>
      <c r="N104" s="26">
        <v>0</v>
      </c>
      <c r="O104" s="26">
        <v>0</v>
      </c>
      <c r="P104" s="26">
        <f t="shared" si="24"/>
        <v>9000</v>
      </c>
      <c r="S104" s="33"/>
    </row>
    <row r="105" spans="1:19" ht="42.75" customHeight="1">
      <c r="A105" s="23" t="s">
        <v>124</v>
      </c>
      <c r="B105" s="23" t="s">
        <v>30</v>
      </c>
      <c r="C105" s="23" t="s">
        <v>31</v>
      </c>
      <c r="D105" s="8" t="s">
        <v>32</v>
      </c>
      <c r="E105" s="26">
        <f t="shared" ref="E105:E177" si="33">F105+I105</f>
        <v>162700</v>
      </c>
      <c r="F105" s="26">
        <f>63500+99200</f>
        <v>162700</v>
      </c>
      <c r="G105" s="26">
        <v>0</v>
      </c>
      <c r="H105" s="26">
        <v>0</v>
      </c>
      <c r="I105" s="26">
        <v>0</v>
      </c>
      <c r="J105" s="26">
        <f t="shared" ref="J105:J212" si="34">L105+O105</f>
        <v>0</v>
      </c>
      <c r="K105" s="26">
        <v>0</v>
      </c>
      <c r="L105" s="26">
        <v>0</v>
      </c>
      <c r="M105" s="26">
        <v>0</v>
      </c>
      <c r="N105" s="26">
        <v>0</v>
      </c>
      <c r="O105" s="26">
        <v>0</v>
      </c>
      <c r="P105" s="26">
        <f t="shared" si="24"/>
        <v>162700</v>
      </c>
      <c r="S105" s="33"/>
    </row>
    <row r="106" spans="1:19" ht="37.5" customHeight="1">
      <c r="A106" s="23" t="s">
        <v>126</v>
      </c>
      <c r="B106" s="23" t="s">
        <v>127</v>
      </c>
      <c r="C106" s="23" t="s">
        <v>95</v>
      </c>
      <c r="D106" s="8" t="s">
        <v>128</v>
      </c>
      <c r="E106" s="26">
        <f t="shared" si="33"/>
        <v>4600</v>
      </c>
      <c r="F106" s="26">
        <f>3400+1200</f>
        <v>4600</v>
      </c>
      <c r="G106" s="26">
        <v>0</v>
      </c>
      <c r="H106" s="26">
        <v>0</v>
      </c>
      <c r="I106" s="26">
        <v>0</v>
      </c>
      <c r="J106" s="26">
        <f t="shared" si="34"/>
        <v>0</v>
      </c>
      <c r="K106" s="26">
        <v>0</v>
      </c>
      <c r="L106" s="26">
        <v>0</v>
      </c>
      <c r="M106" s="26">
        <v>0</v>
      </c>
      <c r="N106" s="26">
        <v>0</v>
      </c>
      <c r="O106" s="26">
        <v>0</v>
      </c>
      <c r="P106" s="26">
        <f t="shared" si="24"/>
        <v>4600</v>
      </c>
      <c r="S106" s="33"/>
    </row>
    <row r="107" spans="1:19" ht="47.25">
      <c r="A107" s="22" t="s">
        <v>371</v>
      </c>
      <c r="B107" s="22" t="s">
        <v>372</v>
      </c>
      <c r="C107" s="22" t="s">
        <v>95</v>
      </c>
      <c r="D107" s="8" t="s">
        <v>373</v>
      </c>
      <c r="E107" s="26">
        <f t="shared" si="33"/>
        <v>18000</v>
      </c>
      <c r="F107" s="26">
        <f>8000+153000-143000</f>
        <v>18000</v>
      </c>
      <c r="G107" s="26"/>
      <c r="H107" s="26"/>
      <c r="I107" s="26"/>
      <c r="J107" s="26">
        <f t="shared" si="34"/>
        <v>0</v>
      </c>
      <c r="K107" s="26"/>
      <c r="L107" s="26"/>
      <c r="M107" s="26"/>
      <c r="N107" s="26"/>
      <c r="O107" s="26"/>
      <c r="P107" s="26">
        <f t="shared" si="24"/>
        <v>18000</v>
      </c>
      <c r="S107" s="33"/>
    </row>
    <row r="108" spans="1:19" s="12" customFormat="1" ht="57" customHeight="1">
      <c r="A108" s="23" t="s">
        <v>129</v>
      </c>
      <c r="B108" s="23" t="s">
        <v>130</v>
      </c>
      <c r="C108" s="23" t="s">
        <v>95</v>
      </c>
      <c r="D108" s="8" t="s">
        <v>131</v>
      </c>
      <c r="E108" s="26">
        <f t="shared" si="33"/>
        <v>963800</v>
      </c>
      <c r="F108" s="26">
        <f>482313+481487</f>
        <v>963800</v>
      </c>
      <c r="G108" s="26">
        <v>0</v>
      </c>
      <c r="H108" s="26">
        <v>0</v>
      </c>
      <c r="I108" s="26">
        <v>0</v>
      </c>
      <c r="J108" s="26">
        <f t="shared" si="34"/>
        <v>0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  <c r="P108" s="26">
        <f t="shared" si="24"/>
        <v>963800</v>
      </c>
      <c r="S108" s="33"/>
    </row>
    <row r="109" spans="1:19" s="12" customFormat="1" ht="57" customHeight="1">
      <c r="A109" s="23" t="s">
        <v>132</v>
      </c>
      <c r="B109" s="23" t="s">
        <v>133</v>
      </c>
      <c r="C109" s="23" t="s">
        <v>125</v>
      </c>
      <c r="D109" s="8" t="s">
        <v>134</v>
      </c>
      <c r="E109" s="26">
        <f t="shared" si="33"/>
        <v>225279</v>
      </c>
      <c r="F109" s="26">
        <f>151514+73765</f>
        <v>225279</v>
      </c>
      <c r="G109" s="26">
        <v>0</v>
      </c>
      <c r="H109" s="26">
        <v>0</v>
      </c>
      <c r="I109" s="26">
        <v>0</v>
      </c>
      <c r="J109" s="26">
        <f t="shared" si="34"/>
        <v>0</v>
      </c>
      <c r="K109" s="26">
        <v>0</v>
      </c>
      <c r="L109" s="26">
        <v>0</v>
      </c>
      <c r="M109" s="26">
        <v>0</v>
      </c>
      <c r="N109" s="26">
        <v>0</v>
      </c>
      <c r="O109" s="26">
        <v>0</v>
      </c>
      <c r="P109" s="26">
        <f t="shared" si="24"/>
        <v>225279</v>
      </c>
      <c r="S109" s="33"/>
    </row>
    <row r="110" spans="1:19" ht="87.75" customHeight="1">
      <c r="A110" s="23" t="s">
        <v>135</v>
      </c>
      <c r="B110" s="23" t="s">
        <v>136</v>
      </c>
      <c r="C110" s="23" t="s">
        <v>137</v>
      </c>
      <c r="D110" s="8" t="s">
        <v>138</v>
      </c>
      <c r="E110" s="26">
        <f t="shared" si="33"/>
        <v>23260450</v>
      </c>
      <c r="F110" s="26">
        <f>21799800+2360000-1000000+264000-163350</f>
        <v>23260450</v>
      </c>
      <c r="G110" s="26">
        <f>20540700+2360000-1000000+264000</f>
        <v>22164700</v>
      </c>
      <c r="H110" s="26">
        <f>334900-175700-945.93-154237.55</f>
        <v>4016.5200000000186</v>
      </c>
      <c r="I110" s="26">
        <v>0</v>
      </c>
      <c r="J110" s="26">
        <f t="shared" si="34"/>
        <v>180000</v>
      </c>
      <c r="K110" s="26">
        <v>0</v>
      </c>
      <c r="L110" s="26">
        <v>55000</v>
      </c>
      <c r="M110" s="26">
        <v>0</v>
      </c>
      <c r="N110" s="26">
        <v>0</v>
      </c>
      <c r="O110" s="26">
        <v>125000</v>
      </c>
      <c r="P110" s="26">
        <f t="shared" si="24"/>
        <v>23440450</v>
      </c>
      <c r="S110" s="33"/>
    </row>
    <row r="111" spans="1:19" ht="126.75" customHeight="1">
      <c r="A111" s="23" t="s">
        <v>139</v>
      </c>
      <c r="B111" s="23" t="s">
        <v>140</v>
      </c>
      <c r="C111" s="23" t="s">
        <v>114</v>
      </c>
      <c r="D111" s="8" t="s">
        <v>316</v>
      </c>
      <c r="E111" s="26">
        <f t="shared" si="33"/>
        <v>12956300</v>
      </c>
      <c r="F111" s="26">
        <f>12988200+100000-408900-430000+800000+206200-206200-93000</f>
        <v>12956300</v>
      </c>
      <c r="G111" s="26">
        <f>9691500+1285000-478100-430000+800000</f>
        <v>10868400</v>
      </c>
      <c r="H111" s="26">
        <f>362300-56300-81700</f>
        <v>224300</v>
      </c>
      <c r="I111" s="26">
        <v>0</v>
      </c>
      <c r="J111" s="26">
        <f t="shared" si="34"/>
        <v>0</v>
      </c>
      <c r="K111" s="26">
        <v>0</v>
      </c>
      <c r="L111" s="26">
        <v>0</v>
      </c>
      <c r="M111" s="26">
        <v>0</v>
      </c>
      <c r="N111" s="26">
        <v>0</v>
      </c>
      <c r="O111" s="26">
        <v>0</v>
      </c>
      <c r="P111" s="26">
        <f t="shared" si="24"/>
        <v>12956300</v>
      </c>
      <c r="S111" s="33"/>
    </row>
    <row r="112" spans="1:19" ht="44.25" customHeight="1">
      <c r="A112" s="23" t="s">
        <v>141</v>
      </c>
      <c r="B112" s="23" t="s">
        <v>142</v>
      </c>
      <c r="C112" s="23" t="s">
        <v>114</v>
      </c>
      <c r="D112" s="8" t="s">
        <v>143</v>
      </c>
      <c r="E112" s="26">
        <f t="shared" si="33"/>
        <v>417500</v>
      </c>
      <c r="F112" s="26">
        <f>507500-90000</f>
        <v>417500</v>
      </c>
      <c r="G112" s="26">
        <v>0</v>
      </c>
      <c r="H112" s="26">
        <v>0</v>
      </c>
      <c r="I112" s="26">
        <v>0</v>
      </c>
      <c r="J112" s="26">
        <f t="shared" si="34"/>
        <v>0</v>
      </c>
      <c r="K112" s="26">
        <v>0</v>
      </c>
      <c r="L112" s="26">
        <v>0</v>
      </c>
      <c r="M112" s="26">
        <v>0</v>
      </c>
      <c r="N112" s="26">
        <v>0</v>
      </c>
      <c r="O112" s="26">
        <v>0</v>
      </c>
      <c r="P112" s="26">
        <f t="shared" si="24"/>
        <v>417500</v>
      </c>
      <c r="S112" s="33"/>
    </row>
    <row r="113" spans="1:19" ht="94.5">
      <c r="A113" s="22" t="s">
        <v>275</v>
      </c>
      <c r="B113" s="23" t="s">
        <v>113</v>
      </c>
      <c r="C113" s="23" t="s">
        <v>114</v>
      </c>
      <c r="D113" s="8" t="s">
        <v>115</v>
      </c>
      <c r="E113" s="26">
        <f t="shared" si="33"/>
        <v>1273000</v>
      </c>
      <c r="F113" s="26">
        <f>1300000-27000</f>
        <v>1273000</v>
      </c>
      <c r="G113" s="26">
        <v>0</v>
      </c>
      <c r="H113" s="26">
        <v>0</v>
      </c>
      <c r="I113" s="26">
        <v>0</v>
      </c>
      <c r="J113" s="26">
        <f t="shared" si="34"/>
        <v>0</v>
      </c>
      <c r="K113" s="26">
        <v>0</v>
      </c>
      <c r="L113" s="26">
        <v>0</v>
      </c>
      <c r="M113" s="26">
        <v>0</v>
      </c>
      <c r="N113" s="26">
        <v>0</v>
      </c>
      <c r="O113" s="26">
        <v>0</v>
      </c>
      <c r="P113" s="26">
        <f t="shared" si="24"/>
        <v>1273000</v>
      </c>
      <c r="S113" s="33"/>
    </row>
    <row r="114" spans="1:19" ht="121.5" customHeight="1">
      <c r="A114" s="23" t="s">
        <v>144</v>
      </c>
      <c r="B114" s="23" t="s">
        <v>145</v>
      </c>
      <c r="C114" s="23" t="s">
        <v>77</v>
      </c>
      <c r="D114" s="8" t="s">
        <v>146</v>
      </c>
      <c r="E114" s="26">
        <f t="shared" si="33"/>
        <v>2262800</v>
      </c>
      <c r="F114" s="26">
        <f>2900000-441200-196000</f>
        <v>2262800</v>
      </c>
      <c r="G114" s="26">
        <v>0</v>
      </c>
      <c r="H114" s="26">
        <v>0</v>
      </c>
      <c r="I114" s="26">
        <v>0</v>
      </c>
      <c r="J114" s="26">
        <f t="shared" si="34"/>
        <v>0</v>
      </c>
      <c r="K114" s="26">
        <v>0</v>
      </c>
      <c r="L114" s="26">
        <v>0</v>
      </c>
      <c r="M114" s="26">
        <v>0</v>
      </c>
      <c r="N114" s="26">
        <v>0</v>
      </c>
      <c r="O114" s="26">
        <v>0</v>
      </c>
      <c r="P114" s="26">
        <f t="shared" si="24"/>
        <v>2262800</v>
      </c>
      <c r="S114" s="33"/>
    </row>
    <row r="115" spans="1:19" s="12" customFormat="1" ht="86.25" customHeight="1">
      <c r="A115" s="23" t="s">
        <v>147</v>
      </c>
      <c r="B115" s="23" t="s">
        <v>148</v>
      </c>
      <c r="C115" s="23" t="s">
        <v>77</v>
      </c>
      <c r="D115" s="8" t="s">
        <v>149</v>
      </c>
      <c r="E115" s="26">
        <f t="shared" si="33"/>
        <v>31190</v>
      </c>
      <c r="F115" s="26">
        <v>31190</v>
      </c>
      <c r="G115" s="26">
        <v>0</v>
      </c>
      <c r="H115" s="26">
        <v>0</v>
      </c>
      <c r="I115" s="26">
        <v>0</v>
      </c>
      <c r="J115" s="26">
        <f t="shared" si="34"/>
        <v>0</v>
      </c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f t="shared" si="24"/>
        <v>31190</v>
      </c>
      <c r="S115" s="33"/>
    </row>
    <row r="116" spans="1:19" ht="94.5">
      <c r="A116" s="23" t="s">
        <v>150</v>
      </c>
      <c r="B116" s="23" t="s">
        <v>151</v>
      </c>
      <c r="C116" s="23" t="s">
        <v>152</v>
      </c>
      <c r="D116" s="8" t="s">
        <v>153</v>
      </c>
      <c r="E116" s="26">
        <f t="shared" si="33"/>
        <v>1120000</v>
      </c>
      <c r="F116" s="26">
        <v>1120000</v>
      </c>
      <c r="G116" s="26">
        <v>0</v>
      </c>
      <c r="H116" s="26">
        <v>0</v>
      </c>
      <c r="I116" s="26">
        <v>0</v>
      </c>
      <c r="J116" s="26">
        <f t="shared" si="34"/>
        <v>0</v>
      </c>
      <c r="K116" s="26">
        <v>0</v>
      </c>
      <c r="L116" s="26">
        <v>0</v>
      </c>
      <c r="M116" s="26">
        <v>0</v>
      </c>
      <c r="N116" s="26">
        <v>0</v>
      </c>
      <c r="O116" s="26">
        <v>0</v>
      </c>
      <c r="P116" s="26">
        <f t="shared" si="24"/>
        <v>1120000</v>
      </c>
      <c r="S116" s="33"/>
    </row>
    <row r="117" spans="1:19" ht="31.5">
      <c r="A117" s="22" t="s">
        <v>374</v>
      </c>
      <c r="B117" s="22">
        <v>3191</v>
      </c>
      <c r="C117" s="22" t="s">
        <v>125</v>
      </c>
      <c r="D117" s="8" t="s">
        <v>375</v>
      </c>
      <c r="E117" s="26">
        <f t="shared" si="33"/>
        <v>27351400</v>
      </c>
      <c r="F117" s="26">
        <f>22866400-153000+2000000+700000+1938000</f>
        <v>27351400</v>
      </c>
      <c r="G117" s="26"/>
      <c r="H117" s="26"/>
      <c r="I117" s="26"/>
      <c r="J117" s="26">
        <f t="shared" si="34"/>
        <v>0</v>
      </c>
      <c r="K117" s="26"/>
      <c r="L117" s="26"/>
      <c r="M117" s="26"/>
      <c r="N117" s="26"/>
      <c r="O117" s="26"/>
      <c r="P117" s="26">
        <f t="shared" si="24"/>
        <v>27351400</v>
      </c>
      <c r="S117" s="33"/>
    </row>
    <row r="118" spans="1:19" ht="79.5" customHeight="1">
      <c r="A118" s="23" t="s">
        <v>154</v>
      </c>
      <c r="B118" s="23" t="s">
        <v>155</v>
      </c>
      <c r="C118" s="23" t="s">
        <v>125</v>
      </c>
      <c r="D118" s="8" t="s">
        <v>156</v>
      </c>
      <c r="E118" s="26">
        <f t="shared" si="33"/>
        <v>71000</v>
      </c>
      <c r="F118" s="26">
        <v>71000</v>
      </c>
      <c r="G118" s="26">
        <v>0</v>
      </c>
      <c r="H118" s="26">
        <v>0</v>
      </c>
      <c r="I118" s="26">
        <v>0</v>
      </c>
      <c r="J118" s="26">
        <f t="shared" si="34"/>
        <v>0</v>
      </c>
      <c r="K118" s="26">
        <v>0</v>
      </c>
      <c r="L118" s="26">
        <v>0</v>
      </c>
      <c r="M118" s="26">
        <v>0</v>
      </c>
      <c r="N118" s="26">
        <v>0</v>
      </c>
      <c r="O118" s="26">
        <v>0</v>
      </c>
      <c r="P118" s="26">
        <f t="shared" si="24"/>
        <v>71000</v>
      </c>
      <c r="S118" s="33"/>
    </row>
    <row r="119" spans="1:19" ht="94.5">
      <c r="A119" s="22" t="s">
        <v>376</v>
      </c>
      <c r="B119" s="22" t="s">
        <v>377</v>
      </c>
      <c r="C119" s="22" t="s">
        <v>125</v>
      </c>
      <c r="D119" s="8" t="s">
        <v>378</v>
      </c>
      <c r="E119" s="26">
        <f t="shared" si="33"/>
        <v>2072420</v>
      </c>
      <c r="F119" s="26">
        <f>1057100+880320-65000+200000-84000</f>
        <v>1988420</v>
      </c>
      <c r="G119" s="26">
        <f>880320+678100-65000+200000</f>
        <v>1693420</v>
      </c>
      <c r="H119" s="26"/>
      <c r="I119" s="26">
        <v>84000</v>
      </c>
      <c r="J119" s="26"/>
      <c r="K119" s="26"/>
      <c r="L119" s="26"/>
      <c r="M119" s="26"/>
      <c r="N119" s="26"/>
      <c r="O119" s="26"/>
      <c r="P119" s="26">
        <f t="shared" si="24"/>
        <v>2072420</v>
      </c>
      <c r="S119" s="33"/>
    </row>
    <row r="120" spans="1:19" ht="409.5">
      <c r="A120" s="22" t="s">
        <v>404</v>
      </c>
      <c r="B120" s="22" t="s">
        <v>405</v>
      </c>
      <c r="C120" s="22" t="s">
        <v>152</v>
      </c>
      <c r="D120" s="8" t="s">
        <v>406</v>
      </c>
      <c r="E120" s="26">
        <f t="shared" si="33"/>
        <v>16808022</v>
      </c>
      <c r="F120" s="26"/>
      <c r="G120" s="26"/>
      <c r="H120" s="26"/>
      <c r="I120" s="26">
        <v>16808022</v>
      </c>
      <c r="J120" s="26"/>
      <c r="K120" s="26"/>
      <c r="L120" s="26"/>
      <c r="M120" s="26"/>
      <c r="N120" s="26"/>
      <c r="O120" s="26"/>
      <c r="P120" s="26">
        <f t="shared" si="24"/>
        <v>16808022</v>
      </c>
      <c r="S120" s="33"/>
    </row>
    <row r="121" spans="1:19" ht="72.75" customHeight="1">
      <c r="A121" s="23" t="s">
        <v>157</v>
      </c>
      <c r="B121" s="23" t="s">
        <v>158</v>
      </c>
      <c r="C121" s="23" t="s">
        <v>95</v>
      </c>
      <c r="D121" s="8" t="s">
        <v>159</v>
      </c>
      <c r="E121" s="26">
        <f t="shared" si="33"/>
        <v>972400</v>
      </c>
      <c r="F121" s="26">
        <f>1097600-125200</f>
        <v>972400</v>
      </c>
      <c r="G121" s="26">
        <v>0</v>
      </c>
      <c r="H121" s="26">
        <v>0</v>
      </c>
      <c r="I121" s="26">
        <v>0</v>
      </c>
      <c r="J121" s="26">
        <f t="shared" si="34"/>
        <v>0</v>
      </c>
      <c r="K121" s="26">
        <v>0</v>
      </c>
      <c r="L121" s="26">
        <v>0</v>
      </c>
      <c r="M121" s="26">
        <v>0</v>
      </c>
      <c r="N121" s="26">
        <v>0</v>
      </c>
      <c r="O121" s="26">
        <v>0</v>
      </c>
      <c r="P121" s="26">
        <f t="shared" si="24"/>
        <v>972400</v>
      </c>
      <c r="S121" s="33"/>
    </row>
    <row r="122" spans="1:19" ht="47.25">
      <c r="A122" s="23" t="s">
        <v>160</v>
      </c>
      <c r="B122" s="23" t="s">
        <v>50</v>
      </c>
      <c r="C122" s="23" t="s">
        <v>51</v>
      </c>
      <c r="D122" s="8" t="s">
        <v>345</v>
      </c>
      <c r="E122" s="26">
        <f t="shared" si="33"/>
        <v>35402060</v>
      </c>
      <c r="F122" s="26">
        <f>59503000-19713400-2000000-2583540+196000</f>
        <v>35402060</v>
      </c>
      <c r="G122" s="26">
        <v>0</v>
      </c>
      <c r="H122" s="26">
        <v>0</v>
      </c>
      <c r="I122" s="26">
        <v>0</v>
      </c>
      <c r="J122" s="26">
        <f t="shared" si="34"/>
        <v>0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  <c r="P122" s="26">
        <f t="shared" si="24"/>
        <v>35402060</v>
      </c>
      <c r="S122" s="33"/>
    </row>
    <row r="123" spans="1:19" ht="47.25">
      <c r="A123" s="22" t="s">
        <v>379</v>
      </c>
      <c r="B123" s="22" t="s">
        <v>380</v>
      </c>
      <c r="C123" s="22" t="s">
        <v>51</v>
      </c>
      <c r="D123" s="8" t="s">
        <v>381</v>
      </c>
      <c r="E123" s="26">
        <f t="shared" si="33"/>
        <v>1782600</v>
      </c>
      <c r="F123" s="26">
        <f>901800-20000-50200</f>
        <v>831600</v>
      </c>
      <c r="G123" s="26">
        <f>558800-20000</f>
        <v>538800</v>
      </c>
      <c r="H123" s="26"/>
      <c r="I123" s="26">
        <v>951000</v>
      </c>
      <c r="J123" s="26">
        <f t="shared" si="34"/>
        <v>0</v>
      </c>
      <c r="K123" s="26"/>
      <c r="L123" s="26"/>
      <c r="M123" s="26"/>
      <c r="N123" s="26"/>
      <c r="O123" s="26"/>
      <c r="P123" s="26">
        <f t="shared" si="24"/>
        <v>1782600</v>
      </c>
      <c r="S123" s="33"/>
    </row>
    <row r="124" spans="1:19" ht="31.5">
      <c r="A124" s="22" t="s">
        <v>276</v>
      </c>
      <c r="B124" s="22" t="s">
        <v>269</v>
      </c>
      <c r="C124" s="22" t="s">
        <v>271</v>
      </c>
      <c r="D124" s="8" t="s">
        <v>270</v>
      </c>
      <c r="E124" s="26">
        <f t="shared" si="33"/>
        <v>910700</v>
      </c>
      <c r="F124" s="26">
        <f>SUM(F125:F127)</f>
        <v>760700</v>
      </c>
      <c r="G124" s="26">
        <f t="shared" ref="G124:I124" si="35">SUM(G125:G127)</f>
        <v>0</v>
      </c>
      <c r="H124" s="26">
        <f t="shared" si="35"/>
        <v>0</v>
      </c>
      <c r="I124" s="26">
        <f t="shared" si="35"/>
        <v>150000</v>
      </c>
      <c r="J124" s="26">
        <f t="shared" si="34"/>
        <v>0</v>
      </c>
      <c r="K124" s="26"/>
      <c r="L124" s="26"/>
      <c r="M124" s="26"/>
      <c r="N124" s="26"/>
      <c r="O124" s="26"/>
      <c r="P124" s="26">
        <f t="shared" si="24"/>
        <v>910700</v>
      </c>
      <c r="S124" s="33"/>
    </row>
    <row r="125" spans="1:19" s="5" customFormat="1" ht="47.25">
      <c r="A125" s="11"/>
      <c r="B125" s="11"/>
      <c r="C125" s="11"/>
      <c r="D125" s="1" t="s">
        <v>289</v>
      </c>
      <c r="E125" s="28">
        <f t="shared" si="33"/>
        <v>168100</v>
      </c>
      <c r="F125" s="28">
        <v>168100</v>
      </c>
      <c r="G125" s="28"/>
      <c r="H125" s="28"/>
      <c r="I125" s="28"/>
      <c r="J125" s="28"/>
      <c r="K125" s="28"/>
      <c r="L125" s="28"/>
      <c r="M125" s="28"/>
      <c r="N125" s="28"/>
      <c r="O125" s="28"/>
      <c r="P125" s="28">
        <f t="shared" si="24"/>
        <v>168100</v>
      </c>
      <c r="S125" s="33"/>
    </row>
    <row r="126" spans="1:19" s="5" customFormat="1" ht="63">
      <c r="A126" s="11"/>
      <c r="B126" s="11"/>
      <c r="C126" s="11"/>
      <c r="D126" s="1" t="s">
        <v>294</v>
      </c>
      <c r="E126" s="28">
        <f t="shared" si="33"/>
        <v>711300</v>
      </c>
      <c r="F126" s="28">
        <f>350900+406400-60000-46000-90000</f>
        <v>561300</v>
      </c>
      <c r="G126" s="28"/>
      <c r="H126" s="28"/>
      <c r="I126" s="28">
        <f>60000+90000</f>
        <v>150000</v>
      </c>
      <c r="J126" s="28"/>
      <c r="K126" s="28"/>
      <c r="L126" s="28"/>
      <c r="M126" s="28"/>
      <c r="N126" s="28"/>
      <c r="O126" s="28"/>
      <c r="P126" s="28">
        <f t="shared" si="24"/>
        <v>711300</v>
      </c>
      <c r="S126" s="33"/>
    </row>
    <row r="127" spans="1:19" s="5" customFormat="1" ht="78.75">
      <c r="A127" s="11"/>
      <c r="B127" s="11"/>
      <c r="C127" s="11"/>
      <c r="D127" s="1" t="s">
        <v>293</v>
      </c>
      <c r="E127" s="28">
        <f t="shared" si="33"/>
        <v>31300</v>
      </c>
      <c r="F127" s="28">
        <f>63900-12600-20000</f>
        <v>31300</v>
      </c>
      <c r="G127" s="28"/>
      <c r="H127" s="28"/>
      <c r="I127" s="28"/>
      <c r="J127" s="28"/>
      <c r="K127" s="28"/>
      <c r="L127" s="28"/>
      <c r="M127" s="28"/>
      <c r="N127" s="28"/>
      <c r="O127" s="28"/>
      <c r="P127" s="28">
        <f t="shared" si="24"/>
        <v>31300</v>
      </c>
      <c r="S127" s="33"/>
    </row>
    <row r="128" spans="1:19" ht="54.75" customHeight="1">
      <c r="A128" s="22" t="s">
        <v>335</v>
      </c>
      <c r="B128" s="22">
        <v>8110</v>
      </c>
      <c r="C128" s="22" t="s">
        <v>229</v>
      </c>
      <c r="D128" s="8" t="s">
        <v>230</v>
      </c>
      <c r="E128" s="26">
        <f>F128+I128</f>
        <v>41940</v>
      </c>
      <c r="F128" s="26">
        <f>F129</f>
        <v>41940</v>
      </c>
      <c r="G128" s="26"/>
      <c r="H128" s="26"/>
      <c r="I128" s="26"/>
      <c r="J128" s="26">
        <f t="shared" ref="J128" si="36">L128+O128</f>
        <v>0</v>
      </c>
      <c r="K128" s="26">
        <v>0</v>
      </c>
      <c r="L128" s="26"/>
      <c r="M128" s="26"/>
      <c r="N128" s="26"/>
      <c r="O128" s="26">
        <v>0</v>
      </c>
      <c r="P128" s="26">
        <f>E128 + J128</f>
        <v>41940</v>
      </c>
      <c r="S128" s="33"/>
    </row>
    <row r="129" spans="1:19" s="5" customFormat="1" ht="78.75">
      <c r="A129" s="11"/>
      <c r="B129" s="11"/>
      <c r="C129" s="11"/>
      <c r="D129" s="1" t="s">
        <v>293</v>
      </c>
      <c r="E129" s="28">
        <f t="shared" ref="E129" si="37">F129+I129</f>
        <v>41940</v>
      </c>
      <c r="F129" s="28">
        <f>60000-18060</f>
        <v>41940</v>
      </c>
      <c r="G129" s="28"/>
      <c r="H129" s="28"/>
      <c r="I129" s="28"/>
      <c r="J129" s="28"/>
      <c r="K129" s="28"/>
      <c r="L129" s="28"/>
      <c r="M129" s="28"/>
      <c r="N129" s="28"/>
      <c r="O129" s="28"/>
      <c r="P129" s="28">
        <f t="shared" ref="P129" si="38">E129 + J129</f>
        <v>41940</v>
      </c>
      <c r="S129" s="33"/>
    </row>
    <row r="130" spans="1:19" ht="47.25">
      <c r="A130" s="6" t="s">
        <v>161</v>
      </c>
      <c r="B130" s="6" t="s">
        <v>18</v>
      </c>
      <c r="C130" s="6" t="s">
        <v>18</v>
      </c>
      <c r="D130" s="7" t="s">
        <v>162</v>
      </c>
      <c r="E130" s="25">
        <f t="shared" si="33"/>
        <v>4180200</v>
      </c>
      <c r="F130" s="25">
        <f>F131</f>
        <v>4180200</v>
      </c>
      <c r="G130" s="25">
        <f t="shared" ref="G130:I130" si="39">G131</f>
        <v>3775200</v>
      </c>
      <c r="H130" s="25">
        <f t="shared" si="39"/>
        <v>0</v>
      </c>
      <c r="I130" s="25">
        <f t="shared" si="39"/>
        <v>0</v>
      </c>
      <c r="J130" s="25">
        <f t="shared" si="34"/>
        <v>0</v>
      </c>
      <c r="K130" s="25">
        <f>K131</f>
        <v>0</v>
      </c>
      <c r="L130" s="25">
        <f t="shared" ref="L130:O130" si="40">L131</f>
        <v>0</v>
      </c>
      <c r="M130" s="25">
        <f t="shared" si="40"/>
        <v>0</v>
      </c>
      <c r="N130" s="25">
        <f t="shared" si="40"/>
        <v>0</v>
      </c>
      <c r="O130" s="25">
        <f t="shared" si="40"/>
        <v>0</v>
      </c>
      <c r="P130" s="25">
        <f t="shared" si="24"/>
        <v>4180200</v>
      </c>
      <c r="S130" s="33"/>
    </row>
    <row r="131" spans="1:19" ht="47.25">
      <c r="A131" s="6" t="s">
        <v>163</v>
      </c>
      <c r="B131" s="6" t="s">
        <v>18</v>
      </c>
      <c r="C131" s="6" t="s">
        <v>18</v>
      </c>
      <c r="D131" s="7" t="s">
        <v>162</v>
      </c>
      <c r="E131" s="25">
        <f t="shared" si="33"/>
        <v>4180200</v>
      </c>
      <c r="F131" s="25">
        <f>SUM(F132:F135)</f>
        <v>4180200</v>
      </c>
      <c r="G131" s="25">
        <f>SUM(G132:G135)</f>
        <v>3775200</v>
      </c>
      <c r="H131" s="25">
        <f>SUM(H132:H135)</f>
        <v>0</v>
      </c>
      <c r="I131" s="25">
        <f>SUM(I132:I135)</f>
        <v>0</v>
      </c>
      <c r="J131" s="25">
        <f t="shared" si="34"/>
        <v>0</v>
      </c>
      <c r="K131" s="25">
        <f>SUM(K132:K135)</f>
        <v>0</v>
      </c>
      <c r="L131" s="25">
        <f>SUM(L132:L135)</f>
        <v>0</v>
      </c>
      <c r="M131" s="25">
        <f>SUM(M132:M135)</f>
        <v>0</v>
      </c>
      <c r="N131" s="25">
        <f>SUM(N132:N135)</f>
        <v>0</v>
      </c>
      <c r="O131" s="25">
        <f>SUM(O132:O135)</f>
        <v>0</v>
      </c>
      <c r="P131" s="25">
        <f t="shared" si="24"/>
        <v>4180200</v>
      </c>
      <c r="S131" s="33"/>
    </row>
    <row r="132" spans="1:19" ht="66" customHeight="1">
      <c r="A132" s="23" t="s">
        <v>164</v>
      </c>
      <c r="B132" s="23" t="s">
        <v>74</v>
      </c>
      <c r="C132" s="23" t="s">
        <v>23</v>
      </c>
      <c r="D132" s="8" t="s">
        <v>75</v>
      </c>
      <c r="E132" s="26">
        <f t="shared" si="33"/>
        <v>3837200</v>
      </c>
      <c r="F132" s="26">
        <f>3475300-10000+378400-6500</f>
        <v>3837200</v>
      </c>
      <c r="G132" s="26">
        <f>3396800+378400</f>
        <v>3775200</v>
      </c>
      <c r="H132" s="26">
        <v>0</v>
      </c>
      <c r="I132" s="26">
        <v>0</v>
      </c>
      <c r="J132" s="26">
        <f t="shared" si="34"/>
        <v>0</v>
      </c>
      <c r="K132" s="26">
        <v>0</v>
      </c>
      <c r="L132" s="26">
        <v>0</v>
      </c>
      <c r="M132" s="26">
        <v>0</v>
      </c>
      <c r="N132" s="26">
        <v>0</v>
      </c>
      <c r="O132" s="26">
        <v>0</v>
      </c>
      <c r="P132" s="26">
        <f t="shared" si="24"/>
        <v>3837200</v>
      </c>
      <c r="S132" s="33"/>
    </row>
    <row r="133" spans="1:19" ht="47.25">
      <c r="A133" s="22" t="s">
        <v>336</v>
      </c>
      <c r="B133" s="23" t="s">
        <v>26</v>
      </c>
      <c r="C133" s="23" t="s">
        <v>27</v>
      </c>
      <c r="D133" s="8" t="s">
        <v>28</v>
      </c>
      <c r="E133" s="26">
        <f t="shared" si="33"/>
        <v>6500</v>
      </c>
      <c r="F133" s="26">
        <v>6500</v>
      </c>
      <c r="G133" s="26">
        <v>0</v>
      </c>
      <c r="H133" s="26">
        <v>0</v>
      </c>
      <c r="I133" s="26">
        <v>0</v>
      </c>
      <c r="J133" s="26">
        <f t="shared" si="34"/>
        <v>0</v>
      </c>
      <c r="K133" s="26">
        <v>0</v>
      </c>
      <c r="L133" s="26">
        <v>0</v>
      </c>
      <c r="M133" s="26">
        <v>0</v>
      </c>
      <c r="N133" s="26">
        <v>0</v>
      </c>
      <c r="O133" s="26">
        <v>0</v>
      </c>
      <c r="P133" s="26">
        <f t="shared" ref="P133" si="41">E133 + J133</f>
        <v>6500</v>
      </c>
      <c r="S133" s="33"/>
    </row>
    <row r="134" spans="1:19" ht="31.5">
      <c r="A134" s="23" t="s">
        <v>165</v>
      </c>
      <c r="B134" s="23" t="s">
        <v>166</v>
      </c>
      <c r="C134" s="23" t="s">
        <v>114</v>
      </c>
      <c r="D134" s="8" t="s">
        <v>167</v>
      </c>
      <c r="E134" s="26">
        <f t="shared" si="33"/>
        <v>317500</v>
      </c>
      <c r="F134" s="26">
        <f>278000+50000-10500</f>
        <v>317500</v>
      </c>
      <c r="G134" s="26">
        <v>0</v>
      </c>
      <c r="H134" s="26">
        <v>0</v>
      </c>
      <c r="I134" s="26">
        <v>0</v>
      </c>
      <c r="J134" s="26">
        <f t="shared" si="34"/>
        <v>0</v>
      </c>
      <c r="K134" s="26">
        <v>0</v>
      </c>
      <c r="L134" s="26">
        <v>0</v>
      </c>
      <c r="M134" s="26">
        <v>0</v>
      </c>
      <c r="N134" s="26">
        <v>0</v>
      </c>
      <c r="O134" s="26">
        <v>0</v>
      </c>
      <c r="P134" s="26">
        <f t="shared" si="24"/>
        <v>317500</v>
      </c>
      <c r="S134" s="33"/>
    </row>
    <row r="135" spans="1:19" ht="31.5">
      <c r="A135" s="22" t="s">
        <v>277</v>
      </c>
      <c r="B135" s="22" t="s">
        <v>269</v>
      </c>
      <c r="C135" s="22" t="s">
        <v>271</v>
      </c>
      <c r="D135" s="8" t="s">
        <v>270</v>
      </c>
      <c r="E135" s="26">
        <f t="shared" si="33"/>
        <v>19000</v>
      </c>
      <c r="F135" s="26">
        <f>9000+10000</f>
        <v>19000</v>
      </c>
      <c r="G135" s="26"/>
      <c r="H135" s="26"/>
      <c r="I135" s="26"/>
      <c r="J135" s="26">
        <f t="shared" si="34"/>
        <v>0</v>
      </c>
      <c r="K135" s="26"/>
      <c r="L135" s="26"/>
      <c r="M135" s="26"/>
      <c r="N135" s="26"/>
      <c r="O135" s="26"/>
      <c r="P135" s="26">
        <f t="shared" si="24"/>
        <v>19000</v>
      </c>
      <c r="S135" s="33"/>
    </row>
    <row r="136" spans="1:19" ht="47.25">
      <c r="A136" s="6" t="s">
        <v>168</v>
      </c>
      <c r="B136" s="6" t="s">
        <v>18</v>
      </c>
      <c r="C136" s="6" t="s">
        <v>18</v>
      </c>
      <c r="D136" s="7" t="s">
        <v>169</v>
      </c>
      <c r="E136" s="25">
        <f t="shared" si="33"/>
        <v>71021174</v>
      </c>
      <c r="F136" s="25">
        <f>F137</f>
        <v>70744500</v>
      </c>
      <c r="G136" s="25">
        <f t="shared" ref="G136:I136" si="42">G137</f>
        <v>58055300</v>
      </c>
      <c r="H136" s="25">
        <f t="shared" si="42"/>
        <v>3851880</v>
      </c>
      <c r="I136" s="25">
        <f t="shared" si="42"/>
        <v>276674</v>
      </c>
      <c r="J136" s="25">
        <f t="shared" si="34"/>
        <v>1400000</v>
      </c>
      <c r="K136" s="25">
        <f>K137</f>
        <v>0</v>
      </c>
      <c r="L136" s="25">
        <f t="shared" ref="L136:O136" si="43">L137</f>
        <v>1170000</v>
      </c>
      <c r="M136" s="25">
        <f t="shared" si="43"/>
        <v>511100</v>
      </c>
      <c r="N136" s="25">
        <f t="shared" si="43"/>
        <v>0</v>
      </c>
      <c r="O136" s="25">
        <f t="shared" si="43"/>
        <v>230000</v>
      </c>
      <c r="P136" s="25">
        <f t="shared" si="24"/>
        <v>72421174</v>
      </c>
      <c r="S136" s="33"/>
    </row>
    <row r="137" spans="1:19" ht="47.25">
      <c r="A137" s="6" t="s">
        <v>170</v>
      </c>
      <c r="B137" s="6" t="s">
        <v>18</v>
      </c>
      <c r="C137" s="6" t="s">
        <v>18</v>
      </c>
      <c r="D137" s="7" t="s">
        <v>169</v>
      </c>
      <c r="E137" s="25">
        <f t="shared" si="33"/>
        <v>71021174</v>
      </c>
      <c r="F137" s="25">
        <f>SUM(F138:F149)</f>
        <v>70744500</v>
      </c>
      <c r="G137" s="25">
        <f t="shared" ref="G137:K137" si="44">SUM(G138:G149)</f>
        <v>58055300</v>
      </c>
      <c r="H137" s="25">
        <f>SUM(H138:H149)</f>
        <v>3851880</v>
      </c>
      <c r="I137" s="25">
        <f t="shared" si="44"/>
        <v>276674</v>
      </c>
      <c r="J137" s="25">
        <f t="shared" si="34"/>
        <v>1400000</v>
      </c>
      <c r="K137" s="25">
        <f t="shared" si="44"/>
        <v>0</v>
      </c>
      <c r="L137" s="25">
        <f t="shared" ref="L137" si="45">SUM(L138:L149)</f>
        <v>1170000</v>
      </c>
      <c r="M137" s="25">
        <f t="shared" ref="M137" si="46">SUM(M138:M149)</f>
        <v>511100</v>
      </c>
      <c r="N137" s="25">
        <f t="shared" ref="N137" si="47">SUM(N138:N149)</f>
        <v>0</v>
      </c>
      <c r="O137" s="25">
        <f t="shared" ref="O137" si="48">SUM(O138:O149)</f>
        <v>230000</v>
      </c>
      <c r="P137" s="25">
        <f t="shared" si="24"/>
        <v>72421174</v>
      </c>
      <c r="S137" s="33"/>
    </row>
    <row r="138" spans="1:19" ht="54" customHeight="1">
      <c r="A138" s="23" t="s">
        <v>171</v>
      </c>
      <c r="B138" s="23" t="s">
        <v>74</v>
      </c>
      <c r="C138" s="23" t="s">
        <v>23</v>
      </c>
      <c r="D138" s="8" t="s">
        <v>75</v>
      </c>
      <c r="E138" s="26">
        <f t="shared" si="33"/>
        <v>1491600</v>
      </c>
      <c r="F138" s="26">
        <f>1373800+117800</f>
        <v>1491600</v>
      </c>
      <c r="G138" s="26">
        <f>1342800+117800</f>
        <v>1460600</v>
      </c>
      <c r="H138" s="26">
        <v>0</v>
      </c>
      <c r="I138" s="26">
        <v>0</v>
      </c>
      <c r="J138" s="26">
        <f t="shared" si="34"/>
        <v>0</v>
      </c>
      <c r="K138" s="26">
        <v>0</v>
      </c>
      <c r="L138" s="26">
        <v>0</v>
      </c>
      <c r="M138" s="26">
        <v>0</v>
      </c>
      <c r="N138" s="26">
        <v>0</v>
      </c>
      <c r="O138" s="26">
        <v>0</v>
      </c>
      <c r="P138" s="26">
        <f t="shared" si="24"/>
        <v>1491600</v>
      </c>
      <c r="S138" s="33"/>
    </row>
    <row r="139" spans="1:19" ht="47.25">
      <c r="A139" s="22" t="s">
        <v>337</v>
      </c>
      <c r="B139" s="23" t="s">
        <v>26</v>
      </c>
      <c r="C139" s="23" t="s">
        <v>27</v>
      </c>
      <c r="D139" s="8" t="s">
        <v>28</v>
      </c>
      <c r="E139" s="26">
        <f t="shared" ref="E139" si="49">F139+I139</f>
        <v>4000</v>
      </c>
      <c r="F139" s="26">
        <v>4000</v>
      </c>
      <c r="G139" s="26">
        <v>0</v>
      </c>
      <c r="H139" s="26">
        <v>0</v>
      </c>
      <c r="I139" s="26">
        <v>0</v>
      </c>
      <c r="J139" s="26">
        <f t="shared" ref="J139" si="50">L139+O139</f>
        <v>0</v>
      </c>
      <c r="K139" s="26">
        <v>0</v>
      </c>
      <c r="L139" s="26">
        <v>0</v>
      </c>
      <c r="M139" s="26">
        <v>0</v>
      </c>
      <c r="N139" s="26">
        <v>0</v>
      </c>
      <c r="O139" s="26">
        <v>0</v>
      </c>
      <c r="P139" s="26">
        <f t="shared" si="24"/>
        <v>4000</v>
      </c>
      <c r="S139" s="33"/>
    </row>
    <row r="140" spans="1:19" ht="31.5">
      <c r="A140" s="23" t="s">
        <v>172</v>
      </c>
      <c r="B140" s="23" t="s">
        <v>173</v>
      </c>
      <c r="C140" s="23" t="s">
        <v>96</v>
      </c>
      <c r="D140" s="8" t="s">
        <v>174</v>
      </c>
      <c r="E140" s="26">
        <f t="shared" si="33"/>
        <v>33539400</v>
      </c>
      <c r="F140" s="26">
        <f>29010800+3900000+740000-1574400+112000+100000+1251000</f>
        <v>33539400</v>
      </c>
      <c r="G140" s="26">
        <f>27112900+4640000-1574400+112000+1251000</f>
        <v>31541500</v>
      </c>
      <c r="H140" s="26">
        <v>735900</v>
      </c>
      <c r="I140" s="26">
        <v>0</v>
      </c>
      <c r="J140" s="26">
        <f t="shared" si="34"/>
        <v>1090000</v>
      </c>
      <c r="K140" s="26">
        <v>0</v>
      </c>
      <c r="L140" s="26">
        <v>890000</v>
      </c>
      <c r="M140" s="26">
        <v>499100</v>
      </c>
      <c r="N140" s="26">
        <v>0</v>
      </c>
      <c r="O140" s="26">
        <v>200000</v>
      </c>
      <c r="P140" s="26">
        <f t="shared" si="24"/>
        <v>34629400</v>
      </c>
      <c r="S140" s="33"/>
    </row>
    <row r="141" spans="1:19" ht="108.75" customHeight="1">
      <c r="A141" s="23" t="s">
        <v>175</v>
      </c>
      <c r="B141" s="23" t="s">
        <v>113</v>
      </c>
      <c r="C141" s="23" t="s">
        <v>114</v>
      </c>
      <c r="D141" s="8" t="s">
        <v>115</v>
      </c>
      <c r="E141" s="26">
        <f t="shared" si="33"/>
        <v>170000</v>
      </c>
      <c r="F141" s="26">
        <v>170000</v>
      </c>
      <c r="G141" s="26">
        <v>0</v>
      </c>
      <c r="H141" s="26">
        <v>0</v>
      </c>
      <c r="I141" s="26">
        <v>0</v>
      </c>
      <c r="J141" s="26">
        <f t="shared" si="34"/>
        <v>0</v>
      </c>
      <c r="K141" s="26">
        <v>0</v>
      </c>
      <c r="L141" s="26">
        <v>0</v>
      </c>
      <c r="M141" s="26">
        <v>0</v>
      </c>
      <c r="N141" s="26">
        <v>0</v>
      </c>
      <c r="O141" s="26">
        <v>0</v>
      </c>
      <c r="P141" s="26">
        <f t="shared" si="24"/>
        <v>170000</v>
      </c>
      <c r="S141" s="33"/>
    </row>
    <row r="142" spans="1:19" ht="47.25">
      <c r="A142" s="23">
        <v>1013242</v>
      </c>
      <c r="B142" s="23">
        <v>3242</v>
      </c>
      <c r="C142" s="23">
        <v>1090</v>
      </c>
      <c r="D142" s="8" t="s">
        <v>345</v>
      </c>
      <c r="E142" s="26">
        <f t="shared" si="33"/>
        <v>48000</v>
      </c>
      <c r="F142" s="26">
        <v>48000</v>
      </c>
      <c r="G142" s="26"/>
      <c r="H142" s="26"/>
      <c r="I142" s="26"/>
      <c r="J142" s="26"/>
      <c r="K142" s="26"/>
      <c r="L142" s="26"/>
      <c r="M142" s="26"/>
      <c r="N142" s="26"/>
      <c r="O142" s="26"/>
      <c r="P142" s="26">
        <f t="shared" si="24"/>
        <v>48000</v>
      </c>
      <c r="S142" s="33"/>
    </row>
    <row r="143" spans="1:19">
      <c r="A143" s="23" t="s">
        <v>176</v>
      </c>
      <c r="B143" s="23" t="s">
        <v>177</v>
      </c>
      <c r="C143" s="23" t="s">
        <v>178</v>
      </c>
      <c r="D143" s="8" t="s">
        <v>179</v>
      </c>
      <c r="E143" s="26">
        <f t="shared" si="33"/>
        <v>10944475</v>
      </c>
      <c r="F143" s="26">
        <f>11148800+40000-400000</f>
        <v>10788800</v>
      </c>
      <c r="G143" s="26">
        <f>8446400-400000</f>
        <v>8046400</v>
      </c>
      <c r="H143" s="26">
        <v>1273200</v>
      </c>
      <c r="I143" s="26">
        <v>155675</v>
      </c>
      <c r="J143" s="26">
        <f t="shared" si="34"/>
        <v>80000</v>
      </c>
      <c r="K143" s="26">
        <v>0</v>
      </c>
      <c r="L143" s="26">
        <f>80000</f>
        <v>80000</v>
      </c>
      <c r="M143" s="26">
        <v>0</v>
      </c>
      <c r="N143" s="26">
        <v>0</v>
      </c>
      <c r="O143" s="26">
        <v>0</v>
      </c>
      <c r="P143" s="26">
        <f t="shared" si="24"/>
        <v>11024475</v>
      </c>
      <c r="S143" s="33"/>
    </row>
    <row r="144" spans="1:19" ht="31.5">
      <c r="A144" s="23" t="s">
        <v>180</v>
      </c>
      <c r="B144" s="23" t="s">
        <v>181</v>
      </c>
      <c r="C144" s="23" t="s">
        <v>178</v>
      </c>
      <c r="D144" s="8" t="s">
        <v>182</v>
      </c>
      <c r="E144" s="26">
        <f t="shared" si="33"/>
        <v>5144900</v>
      </c>
      <c r="F144" s="26">
        <f>4329900+375000+325000+100000+235000-220000</f>
        <v>5144900</v>
      </c>
      <c r="G144" s="26">
        <f>2944500-220000</f>
        <v>2724500</v>
      </c>
      <c r="H144" s="26">
        <v>553800</v>
      </c>
      <c r="I144" s="26">
        <f>40000-40000</f>
        <v>0</v>
      </c>
      <c r="J144" s="26">
        <f t="shared" si="34"/>
        <v>40000</v>
      </c>
      <c r="K144" s="26">
        <v>0</v>
      </c>
      <c r="L144" s="26">
        <v>40000</v>
      </c>
      <c r="M144" s="26">
        <v>0</v>
      </c>
      <c r="N144" s="26">
        <v>0</v>
      </c>
      <c r="O144" s="26">
        <v>0</v>
      </c>
      <c r="P144" s="26">
        <f t="shared" si="24"/>
        <v>5184900</v>
      </c>
      <c r="S144" s="33"/>
    </row>
    <row r="145" spans="1:19" ht="47.25">
      <c r="A145" s="23" t="s">
        <v>183</v>
      </c>
      <c r="B145" s="23" t="s">
        <v>184</v>
      </c>
      <c r="C145" s="23" t="s">
        <v>185</v>
      </c>
      <c r="D145" s="8" t="s">
        <v>186</v>
      </c>
      <c r="E145" s="26">
        <f t="shared" si="33"/>
        <v>15340199</v>
      </c>
      <c r="F145" s="26">
        <f>15603900+390000+40000-720000-64700</f>
        <v>15249200</v>
      </c>
      <c r="G145" s="26">
        <f>12105600-720000</f>
        <v>11385600</v>
      </c>
      <c r="H145" s="26">
        <f>1194900+90000</f>
        <v>1284900</v>
      </c>
      <c r="I145" s="26">
        <f>96299-5300</f>
        <v>90999</v>
      </c>
      <c r="J145" s="26">
        <f t="shared" si="34"/>
        <v>190000</v>
      </c>
      <c r="K145" s="26">
        <v>0</v>
      </c>
      <c r="L145" s="26">
        <v>160000</v>
      </c>
      <c r="M145" s="26">
        <f>10000+2000</f>
        <v>12000</v>
      </c>
      <c r="N145" s="26">
        <v>0</v>
      </c>
      <c r="O145" s="26">
        <v>30000</v>
      </c>
      <c r="P145" s="26">
        <f t="shared" si="24"/>
        <v>15530199</v>
      </c>
      <c r="S145" s="33"/>
    </row>
    <row r="146" spans="1:19" ht="31.5">
      <c r="A146" s="23" t="s">
        <v>187</v>
      </c>
      <c r="B146" s="23" t="s">
        <v>188</v>
      </c>
      <c r="C146" s="23" t="s">
        <v>189</v>
      </c>
      <c r="D146" s="8" t="s">
        <v>190</v>
      </c>
      <c r="E146" s="26">
        <f t="shared" si="33"/>
        <v>3039300</v>
      </c>
      <c r="F146" s="26">
        <f>2999300+40000</f>
        <v>3039300</v>
      </c>
      <c r="G146" s="26">
        <f>2856700+40000</f>
        <v>2896700</v>
      </c>
      <c r="H146" s="26">
        <f>74600-70520</f>
        <v>4080</v>
      </c>
      <c r="I146" s="26">
        <v>0</v>
      </c>
      <c r="J146" s="26">
        <f t="shared" si="34"/>
        <v>0</v>
      </c>
      <c r="K146" s="26">
        <v>0</v>
      </c>
      <c r="L146" s="26">
        <v>0</v>
      </c>
      <c r="M146" s="26">
        <v>0</v>
      </c>
      <c r="N146" s="26">
        <v>0</v>
      </c>
      <c r="O146" s="26">
        <v>0</v>
      </c>
      <c r="P146" s="26">
        <f t="shared" si="24"/>
        <v>3039300</v>
      </c>
      <c r="S146" s="33"/>
    </row>
    <row r="147" spans="1:19" ht="31.5">
      <c r="A147" s="23" t="s">
        <v>191</v>
      </c>
      <c r="B147" s="23" t="s">
        <v>192</v>
      </c>
      <c r="C147" s="23" t="s">
        <v>189</v>
      </c>
      <c r="D147" s="8" t="s">
        <v>193</v>
      </c>
      <c r="E147" s="26">
        <f t="shared" si="33"/>
        <v>879000</v>
      </c>
      <c r="F147" s="26">
        <f>750000+129000+100000-100000</f>
        <v>879000</v>
      </c>
      <c r="G147" s="26">
        <v>0</v>
      </c>
      <c r="H147" s="26">
        <v>0</v>
      </c>
      <c r="I147" s="26">
        <v>0</v>
      </c>
      <c r="J147" s="26">
        <f t="shared" si="34"/>
        <v>0</v>
      </c>
      <c r="K147" s="26">
        <v>0</v>
      </c>
      <c r="L147" s="26">
        <v>0</v>
      </c>
      <c r="M147" s="26">
        <v>0</v>
      </c>
      <c r="N147" s="26">
        <v>0</v>
      </c>
      <c r="O147" s="26">
        <v>0</v>
      </c>
      <c r="P147" s="26">
        <f t="shared" si="24"/>
        <v>879000</v>
      </c>
      <c r="S147" s="33"/>
    </row>
    <row r="148" spans="1:19" ht="31.5">
      <c r="A148" s="22" t="s">
        <v>278</v>
      </c>
      <c r="B148" s="22" t="s">
        <v>269</v>
      </c>
      <c r="C148" s="22" t="s">
        <v>271</v>
      </c>
      <c r="D148" s="8" t="s">
        <v>270</v>
      </c>
      <c r="E148" s="26">
        <f t="shared" si="33"/>
        <v>285300</v>
      </c>
      <c r="F148" s="26">
        <f>205000+50300</f>
        <v>255300</v>
      </c>
      <c r="G148" s="26"/>
      <c r="H148" s="26"/>
      <c r="I148" s="26">
        <v>30000</v>
      </c>
      <c r="J148" s="26">
        <f t="shared" si="34"/>
        <v>0</v>
      </c>
      <c r="K148" s="26">
        <v>0</v>
      </c>
      <c r="L148" s="26"/>
      <c r="M148" s="26"/>
      <c r="N148" s="26"/>
      <c r="O148" s="26">
        <v>0</v>
      </c>
      <c r="P148" s="26">
        <f t="shared" si="24"/>
        <v>285300</v>
      </c>
      <c r="S148" s="33"/>
    </row>
    <row r="149" spans="1:19" ht="54.75" customHeight="1">
      <c r="A149" s="22" t="s">
        <v>338</v>
      </c>
      <c r="B149" s="22">
        <v>8110</v>
      </c>
      <c r="C149" s="22" t="s">
        <v>229</v>
      </c>
      <c r="D149" s="8" t="s">
        <v>230</v>
      </c>
      <c r="E149" s="26">
        <f>F149+I149</f>
        <v>135000</v>
      </c>
      <c r="F149" s="26">
        <f>65000+70000</f>
        <v>135000</v>
      </c>
      <c r="G149" s="26"/>
      <c r="H149" s="26"/>
      <c r="I149" s="26">
        <f>550000-550000</f>
        <v>0</v>
      </c>
      <c r="J149" s="26">
        <f t="shared" si="34"/>
        <v>0</v>
      </c>
      <c r="K149" s="26">
        <v>0</v>
      </c>
      <c r="L149" s="26"/>
      <c r="M149" s="26"/>
      <c r="N149" s="26"/>
      <c r="O149" s="26">
        <v>0</v>
      </c>
      <c r="P149" s="26">
        <f>E149 + J149</f>
        <v>135000</v>
      </c>
      <c r="S149" s="33"/>
    </row>
    <row r="150" spans="1:19" ht="47.25">
      <c r="A150" s="6" t="s">
        <v>194</v>
      </c>
      <c r="B150" s="6" t="s">
        <v>18</v>
      </c>
      <c r="C150" s="6" t="s">
        <v>18</v>
      </c>
      <c r="D150" s="7" t="s">
        <v>195</v>
      </c>
      <c r="E150" s="25">
        <f t="shared" si="33"/>
        <v>20475950</v>
      </c>
      <c r="F150" s="25">
        <f>F151</f>
        <v>12040100</v>
      </c>
      <c r="G150" s="25">
        <f t="shared" ref="G150:I150" si="51">G151</f>
        <v>3925100</v>
      </c>
      <c r="H150" s="25">
        <f t="shared" si="51"/>
        <v>78300</v>
      </c>
      <c r="I150" s="25">
        <f t="shared" si="51"/>
        <v>8435850</v>
      </c>
      <c r="J150" s="25">
        <f t="shared" si="34"/>
        <v>4340995.8600000003</v>
      </c>
      <c r="K150" s="25">
        <f>K151</f>
        <v>0</v>
      </c>
      <c r="L150" s="25">
        <f t="shared" ref="L150:O150" si="52">L151</f>
        <v>0</v>
      </c>
      <c r="M150" s="25">
        <f t="shared" si="52"/>
        <v>0</v>
      </c>
      <c r="N150" s="25">
        <f t="shared" si="52"/>
        <v>0</v>
      </c>
      <c r="O150" s="25">
        <f t="shared" si="52"/>
        <v>4340995.8600000003</v>
      </c>
      <c r="P150" s="25">
        <f t="shared" si="24"/>
        <v>24816945.859999999</v>
      </c>
      <c r="S150" s="33"/>
    </row>
    <row r="151" spans="1:19" ht="47.25">
      <c r="A151" s="6" t="s">
        <v>196</v>
      </c>
      <c r="B151" s="6" t="s">
        <v>18</v>
      </c>
      <c r="C151" s="6" t="s">
        <v>18</v>
      </c>
      <c r="D151" s="7" t="s">
        <v>195</v>
      </c>
      <c r="E151" s="25">
        <f t="shared" si="33"/>
        <v>20475950</v>
      </c>
      <c r="F151" s="25">
        <f>SUM(F152:F161)</f>
        <v>12040100</v>
      </c>
      <c r="G151" s="25">
        <f t="shared" ref="G151:K151" si="53">SUM(G152:G161)</f>
        <v>3925100</v>
      </c>
      <c r="H151" s="25">
        <f t="shared" si="53"/>
        <v>78300</v>
      </c>
      <c r="I151" s="25">
        <f t="shared" si="53"/>
        <v>8435850</v>
      </c>
      <c r="J151" s="25">
        <f t="shared" si="34"/>
        <v>4340995.8600000003</v>
      </c>
      <c r="K151" s="25">
        <f t="shared" si="53"/>
        <v>0</v>
      </c>
      <c r="L151" s="25">
        <f t="shared" ref="L151" si="54">SUM(L152:L161)</f>
        <v>0</v>
      </c>
      <c r="M151" s="25">
        <f t="shared" ref="M151" si="55">SUM(M152:M161)</f>
        <v>0</v>
      </c>
      <c r="N151" s="25">
        <f t="shared" ref="N151" si="56">SUM(N152:N161)</f>
        <v>0</v>
      </c>
      <c r="O151" s="25">
        <f t="shared" ref="O151" si="57">SUM(O152:O161)</f>
        <v>4340995.8600000003</v>
      </c>
      <c r="P151" s="25">
        <f t="shared" si="24"/>
        <v>24816945.859999999</v>
      </c>
      <c r="S151" s="33"/>
    </row>
    <row r="152" spans="1:19" ht="71.25" customHeight="1">
      <c r="A152" s="23" t="s">
        <v>197</v>
      </c>
      <c r="B152" s="23" t="s">
        <v>74</v>
      </c>
      <c r="C152" s="23" t="s">
        <v>23</v>
      </c>
      <c r="D152" s="8" t="s">
        <v>75</v>
      </c>
      <c r="E152" s="26">
        <f t="shared" si="33"/>
        <v>3224800</v>
      </c>
      <c r="F152" s="26">
        <f>3006000-10000+228800</f>
        <v>3224800</v>
      </c>
      <c r="G152" s="26">
        <f>2895700+228800</f>
        <v>3124500</v>
      </c>
      <c r="H152" s="26">
        <v>0</v>
      </c>
      <c r="I152" s="26">
        <v>0</v>
      </c>
      <c r="J152" s="26">
        <f t="shared" si="34"/>
        <v>0</v>
      </c>
      <c r="K152" s="26">
        <v>0</v>
      </c>
      <c r="L152" s="26">
        <v>0</v>
      </c>
      <c r="M152" s="26">
        <v>0</v>
      </c>
      <c r="N152" s="26">
        <v>0</v>
      </c>
      <c r="O152" s="26">
        <v>0</v>
      </c>
      <c r="P152" s="26">
        <f t="shared" si="24"/>
        <v>3224800</v>
      </c>
      <c r="S152" s="33"/>
    </row>
    <row r="153" spans="1:19" ht="47.25">
      <c r="A153" s="22" t="s">
        <v>339</v>
      </c>
      <c r="B153" s="23" t="s">
        <v>26</v>
      </c>
      <c r="C153" s="23" t="s">
        <v>27</v>
      </c>
      <c r="D153" s="8" t="s">
        <v>28</v>
      </c>
      <c r="E153" s="26">
        <f t="shared" si="33"/>
        <v>9000</v>
      </c>
      <c r="F153" s="26">
        <v>9000</v>
      </c>
      <c r="G153" s="26">
        <v>0</v>
      </c>
      <c r="H153" s="26">
        <v>0</v>
      </c>
      <c r="I153" s="26">
        <v>0</v>
      </c>
      <c r="J153" s="26">
        <f t="shared" si="34"/>
        <v>0</v>
      </c>
      <c r="K153" s="26">
        <v>0</v>
      </c>
      <c r="L153" s="26">
        <v>0</v>
      </c>
      <c r="M153" s="26">
        <v>0</v>
      </c>
      <c r="N153" s="26">
        <v>0</v>
      </c>
      <c r="O153" s="26">
        <v>0</v>
      </c>
      <c r="P153" s="26">
        <f t="shared" ref="P153" si="58">E153 + J153</f>
        <v>9000</v>
      </c>
      <c r="S153" s="33"/>
    </row>
    <row r="154" spans="1:19" ht="63">
      <c r="A154" s="23" t="s">
        <v>198</v>
      </c>
      <c r="B154" s="23" t="s">
        <v>199</v>
      </c>
      <c r="C154" s="23" t="s">
        <v>114</v>
      </c>
      <c r="D154" s="8" t="s">
        <v>317</v>
      </c>
      <c r="E154" s="26">
        <f t="shared" si="33"/>
        <v>2329000</v>
      </c>
      <c r="F154" s="26">
        <f>2429000-100000</f>
        <v>2329000</v>
      </c>
      <c r="G154" s="26">
        <v>800600</v>
      </c>
      <c r="H154" s="26">
        <v>78300</v>
      </c>
      <c r="I154" s="26">
        <v>0</v>
      </c>
      <c r="J154" s="26">
        <f t="shared" si="34"/>
        <v>0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f t="shared" si="24"/>
        <v>2329000</v>
      </c>
      <c r="S154" s="33"/>
    </row>
    <row r="155" spans="1:19" ht="47.25">
      <c r="A155" s="23" t="s">
        <v>200</v>
      </c>
      <c r="B155" s="23" t="s">
        <v>201</v>
      </c>
      <c r="C155" s="23" t="s">
        <v>119</v>
      </c>
      <c r="D155" s="8" t="s">
        <v>202</v>
      </c>
      <c r="E155" s="26">
        <f t="shared" si="33"/>
        <v>1132900</v>
      </c>
      <c r="F155" s="26">
        <f>1529900+49500-64900-181600-200000</f>
        <v>1132900</v>
      </c>
      <c r="G155" s="26">
        <v>0</v>
      </c>
      <c r="H155" s="26">
        <v>0</v>
      </c>
      <c r="I155" s="26">
        <v>0</v>
      </c>
      <c r="J155" s="26">
        <f t="shared" si="34"/>
        <v>0</v>
      </c>
      <c r="K155" s="26">
        <v>0</v>
      </c>
      <c r="L155" s="26">
        <v>0</v>
      </c>
      <c r="M155" s="26">
        <v>0</v>
      </c>
      <c r="N155" s="26">
        <v>0</v>
      </c>
      <c r="O155" s="26">
        <v>0</v>
      </c>
      <c r="P155" s="26">
        <f t="shared" si="24"/>
        <v>1132900</v>
      </c>
      <c r="S155" s="33"/>
    </row>
    <row r="156" spans="1:19" ht="47.25">
      <c r="A156" s="23" t="s">
        <v>203</v>
      </c>
      <c r="B156" s="23" t="s">
        <v>204</v>
      </c>
      <c r="C156" s="23" t="s">
        <v>119</v>
      </c>
      <c r="D156" s="8" t="s">
        <v>205</v>
      </c>
      <c r="E156" s="26">
        <f t="shared" si="33"/>
        <v>847338</v>
      </c>
      <c r="F156" s="26">
        <f>1055000+49500-138762+81600-200000</f>
        <v>847338</v>
      </c>
      <c r="G156" s="26">
        <v>0</v>
      </c>
      <c r="H156" s="26">
        <v>0</v>
      </c>
      <c r="I156" s="26">
        <v>0</v>
      </c>
      <c r="J156" s="26">
        <f t="shared" si="34"/>
        <v>0</v>
      </c>
      <c r="K156" s="26">
        <v>0</v>
      </c>
      <c r="L156" s="26">
        <v>0</v>
      </c>
      <c r="M156" s="26">
        <v>0</v>
      </c>
      <c r="N156" s="26">
        <v>0</v>
      </c>
      <c r="O156" s="26">
        <v>0</v>
      </c>
      <c r="P156" s="26">
        <f t="shared" si="24"/>
        <v>847338</v>
      </c>
      <c r="S156" s="33"/>
    </row>
    <row r="157" spans="1:19" ht="35.450000000000003" customHeight="1">
      <c r="A157" s="23">
        <v>1115048</v>
      </c>
      <c r="B157" s="23">
        <v>5048</v>
      </c>
      <c r="C157" s="22" t="s">
        <v>119</v>
      </c>
      <c r="D157" s="8" t="s">
        <v>393</v>
      </c>
      <c r="E157" s="26">
        <f>F157+I157</f>
        <v>8435850</v>
      </c>
      <c r="F157" s="26"/>
      <c r="G157" s="26"/>
      <c r="H157" s="26"/>
      <c r="I157" s="26">
        <v>8435850</v>
      </c>
      <c r="J157" s="26">
        <f>L157+O157</f>
        <v>0</v>
      </c>
      <c r="K157" s="26"/>
      <c r="L157" s="26"/>
      <c r="M157" s="26"/>
      <c r="N157" s="26"/>
      <c r="O157" s="26"/>
      <c r="P157" s="26">
        <f>E157 + J157</f>
        <v>8435850</v>
      </c>
      <c r="S157" s="33"/>
    </row>
    <row r="158" spans="1:19" ht="84" customHeight="1">
      <c r="A158" s="23" t="s">
        <v>206</v>
      </c>
      <c r="B158" s="23" t="s">
        <v>207</v>
      </c>
      <c r="C158" s="23" t="s">
        <v>119</v>
      </c>
      <c r="D158" s="8" t="s">
        <v>346</v>
      </c>
      <c r="E158" s="26">
        <f t="shared" si="33"/>
        <v>4110462</v>
      </c>
      <c r="F158" s="26">
        <f>4296800-96338-90000</f>
        <v>4110462</v>
      </c>
      <c r="G158" s="26">
        <v>0</v>
      </c>
      <c r="H158" s="26">
        <v>0</v>
      </c>
      <c r="I158" s="26">
        <v>0</v>
      </c>
      <c r="J158" s="26">
        <f t="shared" si="34"/>
        <v>0</v>
      </c>
      <c r="K158" s="26">
        <v>0</v>
      </c>
      <c r="L158" s="26">
        <v>0</v>
      </c>
      <c r="M158" s="26">
        <v>0</v>
      </c>
      <c r="N158" s="26">
        <v>0</v>
      </c>
      <c r="O158" s="26">
        <v>0</v>
      </c>
      <c r="P158" s="26">
        <f t="shared" si="24"/>
        <v>4110462</v>
      </c>
      <c r="S158" s="33"/>
    </row>
    <row r="159" spans="1:19" ht="63">
      <c r="A159" s="23">
        <v>1115062</v>
      </c>
      <c r="B159" s="23">
        <v>5062</v>
      </c>
      <c r="C159" s="22" t="s">
        <v>119</v>
      </c>
      <c r="D159" s="8" t="s">
        <v>407</v>
      </c>
      <c r="E159" s="26">
        <f t="shared" si="33"/>
        <v>300000</v>
      </c>
      <c r="F159" s="26">
        <v>300000</v>
      </c>
      <c r="G159" s="26"/>
      <c r="H159" s="26"/>
      <c r="I159" s="26"/>
      <c r="J159" s="26"/>
      <c r="K159" s="26"/>
      <c r="L159" s="26"/>
      <c r="M159" s="26"/>
      <c r="N159" s="26"/>
      <c r="O159" s="26"/>
      <c r="P159" s="26">
        <f t="shared" si="24"/>
        <v>300000</v>
      </c>
      <c r="S159" s="33"/>
    </row>
    <row r="160" spans="1:19" ht="31.5">
      <c r="A160" s="22" t="s">
        <v>279</v>
      </c>
      <c r="B160" s="22" t="s">
        <v>269</v>
      </c>
      <c r="C160" s="22" t="s">
        <v>271</v>
      </c>
      <c r="D160" s="8" t="s">
        <v>270</v>
      </c>
      <c r="E160" s="26">
        <f t="shared" si="33"/>
        <v>86600</v>
      </c>
      <c r="F160" s="26">
        <f>76600+10000</f>
        <v>86600</v>
      </c>
      <c r="G160" s="26"/>
      <c r="H160" s="26"/>
      <c r="I160" s="26"/>
      <c r="J160" s="26">
        <f t="shared" ref="J160:J161" si="59">L160+O160</f>
        <v>0</v>
      </c>
      <c r="K160" s="26"/>
      <c r="L160" s="26"/>
      <c r="M160" s="26"/>
      <c r="N160" s="26"/>
      <c r="O160" s="26"/>
      <c r="P160" s="26">
        <f t="shared" si="24"/>
        <v>86600</v>
      </c>
      <c r="S160" s="33"/>
    </row>
    <row r="161" spans="1:19" ht="153" customHeight="1">
      <c r="A161" s="22" t="s">
        <v>382</v>
      </c>
      <c r="B161" s="22" t="s">
        <v>383</v>
      </c>
      <c r="C161" s="22" t="s">
        <v>58</v>
      </c>
      <c r="D161" s="8" t="s">
        <v>384</v>
      </c>
      <c r="E161" s="26">
        <f t="shared" si="33"/>
        <v>0</v>
      </c>
      <c r="F161" s="26"/>
      <c r="G161" s="26"/>
      <c r="H161" s="26"/>
      <c r="I161" s="26"/>
      <c r="J161" s="26">
        <f t="shared" si="59"/>
        <v>4340995.8600000003</v>
      </c>
      <c r="K161" s="26"/>
      <c r="L161" s="26"/>
      <c r="M161" s="26"/>
      <c r="N161" s="26"/>
      <c r="O161" s="26">
        <v>4340995.8600000003</v>
      </c>
      <c r="P161" s="26">
        <f t="shared" si="24"/>
        <v>4340995.8600000003</v>
      </c>
      <c r="S161" s="33"/>
    </row>
    <row r="162" spans="1:19" ht="63">
      <c r="A162" s="6" t="s">
        <v>208</v>
      </c>
      <c r="B162" s="6" t="s">
        <v>18</v>
      </c>
      <c r="C162" s="6" t="s">
        <v>18</v>
      </c>
      <c r="D162" s="7" t="s">
        <v>209</v>
      </c>
      <c r="E162" s="25">
        <f t="shared" si="33"/>
        <v>268612069.04000002</v>
      </c>
      <c r="F162" s="25">
        <f>F163</f>
        <v>51699860</v>
      </c>
      <c r="G162" s="25">
        <f t="shared" ref="G162:I162" si="60">G163</f>
        <v>5752900</v>
      </c>
      <c r="H162" s="25">
        <f t="shared" si="60"/>
        <v>1010</v>
      </c>
      <c r="I162" s="25">
        <f t="shared" si="60"/>
        <v>216912209.04000002</v>
      </c>
      <c r="J162" s="25">
        <f t="shared" si="34"/>
        <v>11008902.399999999</v>
      </c>
      <c r="K162" s="25">
        <f>K163</f>
        <v>4274511.51</v>
      </c>
      <c r="L162" s="25">
        <f t="shared" ref="L162:O162" si="61">L163</f>
        <v>989184</v>
      </c>
      <c r="M162" s="25">
        <f t="shared" si="61"/>
        <v>0</v>
      </c>
      <c r="N162" s="25">
        <f t="shared" si="61"/>
        <v>0</v>
      </c>
      <c r="O162" s="25">
        <f t="shared" si="61"/>
        <v>10019718.399999999</v>
      </c>
      <c r="P162" s="25">
        <f t="shared" si="24"/>
        <v>279620971.44</v>
      </c>
      <c r="S162" s="33"/>
    </row>
    <row r="163" spans="1:19" ht="63">
      <c r="A163" s="6" t="s">
        <v>210</v>
      </c>
      <c r="B163" s="6" t="s">
        <v>18</v>
      </c>
      <c r="C163" s="6" t="s">
        <v>18</v>
      </c>
      <c r="D163" s="7" t="s">
        <v>209</v>
      </c>
      <c r="E163" s="25">
        <f>F163+I163</f>
        <v>268612069.04000002</v>
      </c>
      <c r="F163" s="25">
        <f>SUM(F164:F183)</f>
        <v>51699860</v>
      </c>
      <c r="G163" s="25">
        <f>SUM(G164:G183)</f>
        <v>5752900</v>
      </c>
      <c r="H163" s="25">
        <f>SUM(H164:H183)</f>
        <v>1010</v>
      </c>
      <c r="I163" s="25">
        <f>SUM(I164:I183)</f>
        <v>216912209.04000002</v>
      </c>
      <c r="J163" s="25">
        <f t="shared" si="34"/>
        <v>11008902.399999999</v>
      </c>
      <c r="K163" s="25">
        <f>SUM(K164:K183)</f>
        <v>4274511.51</v>
      </c>
      <c r="L163" s="25">
        <f>SUM(L164:L183)</f>
        <v>989184</v>
      </c>
      <c r="M163" s="25">
        <f>SUM(M164:M183)</f>
        <v>0</v>
      </c>
      <c r="N163" s="25">
        <f>SUM(N164:N183)</f>
        <v>0</v>
      </c>
      <c r="O163" s="25">
        <f>SUM(O164:O183)</f>
        <v>10019718.399999999</v>
      </c>
      <c r="P163" s="25">
        <f>E163 + J163</f>
        <v>279620971.44</v>
      </c>
      <c r="S163" s="33"/>
    </row>
    <row r="164" spans="1:19" ht="57.6" customHeight="1">
      <c r="A164" s="23" t="s">
        <v>211</v>
      </c>
      <c r="B164" s="23" t="s">
        <v>74</v>
      </c>
      <c r="C164" s="23" t="s">
        <v>23</v>
      </c>
      <c r="D164" s="8" t="s">
        <v>75</v>
      </c>
      <c r="E164" s="26">
        <f t="shared" si="33"/>
        <v>6143690</v>
      </c>
      <c r="F164" s="26">
        <f>6100200+65380-21890</f>
        <v>6143690</v>
      </c>
      <c r="G164" s="26">
        <f>5752900</f>
        <v>5752900</v>
      </c>
      <c r="H164" s="26">
        <f>15900-14890</f>
        <v>1010</v>
      </c>
      <c r="I164" s="26">
        <v>0</v>
      </c>
      <c r="J164" s="26">
        <f t="shared" si="34"/>
        <v>0</v>
      </c>
      <c r="K164" s="26">
        <v>0</v>
      </c>
      <c r="L164" s="26">
        <v>0</v>
      </c>
      <c r="M164" s="26">
        <v>0</v>
      </c>
      <c r="N164" s="26">
        <v>0</v>
      </c>
      <c r="O164" s="26">
        <v>0</v>
      </c>
      <c r="P164" s="26">
        <f t="shared" si="24"/>
        <v>6143690</v>
      </c>
      <c r="S164" s="33"/>
    </row>
    <row r="165" spans="1:19" ht="54.6" customHeight="1">
      <c r="A165" s="23" t="s">
        <v>212</v>
      </c>
      <c r="B165" s="23" t="s">
        <v>26</v>
      </c>
      <c r="C165" s="23" t="s">
        <v>27</v>
      </c>
      <c r="D165" s="8" t="s">
        <v>28</v>
      </c>
      <c r="E165" s="26">
        <f t="shared" si="33"/>
        <v>10000</v>
      </c>
      <c r="F165" s="26">
        <v>10000</v>
      </c>
      <c r="G165" s="26">
        <v>0</v>
      </c>
      <c r="H165" s="26">
        <v>0</v>
      </c>
      <c r="I165" s="26">
        <v>0</v>
      </c>
      <c r="J165" s="26">
        <f t="shared" si="34"/>
        <v>0</v>
      </c>
      <c r="K165" s="26">
        <v>0</v>
      </c>
      <c r="L165" s="26">
        <v>0</v>
      </c>
      <c r="M165" s="26">
        <v>0</v>
      </c>
      <c r="N165" s="26">
        <v>0</v>
      </c>
      <c r="O165" s="26">
        <v>0</v>
      </c>
      <c r="P165" s="26">
        <f t="shared" si="24"/>
        <v>10000</v>
      </c>
      <c r="S165" s="33"/>
    </row>
    <row r="166" spans="1:19" ht="31.5">
      <c r="A166" s="23">
        <v>1216011</v>
      </c>
      <c r="B166" s="23">
        <v>6011</v>
      </c>
      <c r="C166" s="22" t="s">
        <v>386</v>
      </c>
      <c r="D166" s="8" t="s">
        <v>385</v>
      </c>
      <c r="E166" s="26">
        <f t="shared" si="33"/>
        <v>3571556.93</v>
      </c>
      <c r="F166" s="26">
        <f>227819-227819</f>
        <v>0</v>
      </c>
      <c r="G166" s="26"/>
      <c r="H166" s="26"/>
      <c r="I166" s="26">
        <f>1724120+227819+1958533-1228736-175089-87090.07+585000+567000</f>
        <v>3571556.93</v>
      </c>
      <c r="J166" s="26">
        <f t="shared" si="34"/>
        <v>0</v>
      </c>
      <c r="K166" s="26"/>
      <c r="L166" s="26"/>
      <c r="M166" s="26"/>
      <c r="N166" s="26"/>
      <c r="O166" s="26"/>
      <c r="P166" s="26">
        <f t="shared" si="24"/>
        <v>3571556.93</v>
      </c>
      <c r="S166" s="33"/>
    </row>
    <row r="167" spans="1:19" ht="35.450000000000003" customHeight="1">
      <c r="A167" s="23">
        <v>1216013</v>
      </c>
      <c r="B167" s="23">
        <v>6013</v>
      </c>
      <c r="C167" s="22" t="s">
        <v>54</v>
      </c>
      <c r="D167" s="8" t="s">
        <v>387</v>
      </c>
      <c r="E167" s="26">
        <f t="shared" si="33"/>
        <v>4033841.04</v>
      </c>
      <c r="F167" s="26"/>
      <c r="G167" s="26"/>
      <c r="H167" s="26"/>
      <c r="I167" s="26">
        <f>4161800+182000-309958.96</f>
        <v>4033841.04</v>
      </c>
      <c r="J167" s="26">
        <f t="shared" si="34"/>
        <v>0</v>
      </c>
      <c r="K167" s="26"/>
      <c r="L167" s="26"/>
      <c r="M167" s="26"/>
      <c r="N167" s="26"/>
      <c r="O167" s="26"/>
      <c r="P167" s="26">
        <f t="shared" si="24"/>
        <v>4033841.04</v>
      </c>
      <c r="S167" s="33"/>
    </row>
    <row r="168" spans="1:19" ht="37.9" customHeight="1">
      <c r="A168" s="23" t="s">
        <v>213</v>
      </c>
      <c r="B168" s="23" t="s">
        <v>214</v>
      </c>
      <c r="C168" s="23" t="s">
        <v>54</v>
      </c>
      <c r="D168" s="8" t="s">
        <v>215</v>
      </c>
      <c r="E168" s="26">
        <f t="shared" si="33"/>
        <v>593342</v>
      </c>
      <c r="F168" s="26"/>
      <c r="G168" s="26">
        <v>0</v>
      </c>
      <c r="H168" s="26">
        <v>0</v>
      </c>
      <c r="I168" s="26">
        <f>300000+293342</f>
        <v>593342</v>
      </c>
      <c r="J168" s="26">
        <f t="shared" si="34"/>
        <v>0</v>
      </c>
      <c r="K168" s="26">
        <v>0</v>
      </c>
      <c r="L168" s="26">
        <v>0</v>
      </c>
      <c r="M168" s="26">
        <v>0</v>
      </c>
      <c r="N168" s="26">
        <v>0</v>
      </c>
      <c r="O168" s="26">
        <v>0</v>
      </c>
      <c r="P168" s="26">
        <f t="shared" si="24"/>
        <v>593342</v>
      </c>
      <c r="S168" s="33"/>
    </row>
    <row r="169" spans="1:19" ht="47.25">
      <c r="A169" s="23" t="s">
        <v>216</v>
      </c>
      <c r="B169" s="23" t="s">
        <v>217</v>
      </c>
      <c r="C169" s="23" t="s">
        <v>54</v>
      </c>
      <c r="D169" s="8" t="s">
        <v>218</v>
      </c>
      <c r="E169" s="26">
        <f t="shared" si="33"/>
        <v>2940200</v>
      </c>
      <c r="F169" s="26">
        <v>0</v>
      </c>
      <c r="G169" s="26">
        <v>0</v>
      </c>
      <c r="H169" s="26">
        <v>0</v>
      </c>
      <c r="I169" s="26">
        <f>2440200+500000</f>
        <v>2940200</v>
      </c>
      <c r="J169" s="26">
        <f t="shared" si="34"/>
        <v>0</v>
      </c>
      <c r="K169" s="26">
        <v>0</v>
      </c>
      <c r="L169" s="26">
        <v>0</v>
      </c>
      <c r="M169" s="26">
        <v>0</v>
      </c>
      <c r="N169" s="26">
        <v>0</v>
      </c>
      <c r="O169" s="26">
        <v>0</v>
      </c>
      <c r="P169" s="26">
        <f t="shared" si="24"/>
        <v>2940200</v>
      </c>
      <c r="S169" s="33"/>
    </row>
    <row r="170" spans="1:19" ht="31.5">
      <c r="A170" s="23" t="s">
        <v>219</v>
      </c>
      <c r="B170" s="23" t="s">
        <v>53</v>
      </c>
      <c r="C170" s="23" t="s">
        <v>54</v>
      </c>
      <c r="D170" s="8" t="s">
        <v>55</v>
      </c>
      <c r="E170" s="26">
        <f t="shared" si="33"/>
        <v>101535820.51000001</v>
      </c>
      <c r="F170" s="26">
        <f>10001000+15450000-18500000+180000+169000+1000000-119000+180000+10000+400000-101640</f>
        <v>8669360</v>
      </c>
      <c r="G170" s="26">
        <v>0</v>
      </c>
      <c r="H170" s="26">
        <v>0</v>
      </c>
      <c r="I170" s="26">
        <f>18500000+47970000+22000000+600000+1500000-169000+387732+119000+329500-180000+1064900+700700+123500-10000+839500-13610+1128474-1558875.49-567000+101640</f>
        <v>92866460.510000005</v>
      </c>
      <c r="J170" s="26">
        <f t="shared" si="34"/>
        <v>0</v>
      </c>
      <c r="K170" s="26">
        <v>0</v>
      </c>
      <c r="L170" s="26">
        <v>0</v>
      </c>
      <c r="M170" s="26">
        <v>0</v>
      </c>
      <c r="N170" s="26">
        <v>0</v>
      </c>
      <c r="O170" s="26">
        <v>0</v>
      </c>
      <c r="P170" s="26">
        <f t="shared" ref="P170:P221" si="62">E170 + J170</f>
        <v>101535820.51000001</v>
      </c>
      <c r="S170" s="33"/>
    </row>
    <row r="171" spans="1:19" ht="78.75">
      <c r="A171" s="23">
        <v>1216091</v>
      </c>
      <c r="B171" s="23">
        <v>6091</v>
      </c>
      <c r="C171" s="22" t="s">
        <v>291</v>
      </c>
      <c r="D171" s="8" t="s">
        <v>388</v>
      </c>
      <c r="E171" s="26">
        <f t="shared" si="33"/>
        <v>0</v>
      </c>
      <c r="F171" s="26"/>
      <c r="G171" s="26"/>
      <c r="H171" s="26"/>
      <c r="I171" s="26"/>
      <c r="J171" s="26">
        <f t="shared" si="34"/>
        <v>4274511.51</v>
      </c>
      <c r="K171" s="26">
        <f>5116500-839500+500000-502488.49</f>
        <v>4274511.51</v>
      </c>
      <c r="L171" s="26"/>
      <c r="M171" s="26"/>
      <c r="N171" s="26"/>
      <c r="O171" s="26">
        <f>5116500-839500+500000-502488.49</f>
        <v>4274511.51</v>
      </c>
      <c r="P171" s="26">
        <f t="shared" si="62"/>
        <v>4274511.51</v>
      </c>
      <c r="S171" s="33"/>
    </row>
    <row r="172" spans="1:19" ht="97.9" customHeight="1">
      <c r="A172" s="23">
        <v>1216093</v>
      </c>
      <c r="B172" s="23">
        <v>6093</v>
      </c>
      <c r="C172" s="22" t="s">
        <v>291</v>
      </c>
      <c r="D172" s="8" t="s">
        <v>431</v>
      </c>
      <c r="E172" s="26">
        <f t="shared" si="33"/>
        <v>55814</v>
      </c>
      <c r="F172" s="26"/>
      <c r="G172" s="26"/>
      <c r="H172" s="26"/>
      <c r="I172" s="26">
        <f>1505814-1450000</f>
        <v>55814</v>
      </c>
      <c r="J172" s="26"/>
      <c r="K172" s="26"/>
      <c r="L172" s="26"/>
      <c r="M172" s="26"/>
      <c r="N172" s="26"/>
      <c r="O172" s="26"/>
      <c r="P172" s="26">
        <f t="shared" si="62"/>
        <v>55814</v>
      </c>
      <c r="S172" s="33"/>
    </row>
    <row r="173" spans="1:19" ht="31.5">
      <c r="A173" s="23">
        <v>1216096</v>
      </c>
      <c r="B173" s="23">
        <v>6096</v>
      </c>
      <c r="C173" s="22" t="s">
        <v>291</v>
      </c>
      <c r="D173" s="8" t="s">
        <v>419</v>
      </c>
      <c r="E173" s="26">
        <f t="shared" si="33"/>
        <v>5073405</v>
      </c>
      <c r="F173" s="26"/>
      <c r="G173" s="26"/>
      <c r="H173" s="26"/>
      <c r="I173" s="26">
        <f>429405+4644000</f>
        <v>5073405</v>
      </c>
      <c r="J173" s="26">
        <f t="shared" si="34"/>
        <v>0</v>
      </c>
      <c r="K173" s="26"/>
      <c r="L173" s="26"/>
      <c r="M173" s="26"/>
      <c r="N173" s="26"/>
      <c r="O173" s="26"/>
      <c r="P173" s="26">
        <f t="shared" si="62"/>
        <v>5073405</v>
      </c>
      <c r="S173" s="33"/>
    </row>
    <row r="174" spans="1:19" ht="47.25">
      <c r="A174" s="23" t="s">
        <v>220</v>
      </c>
      <c r="B174" s="23" t="s">
        <v>221</v>
      </c>
      <c r="C174" s="23" t="s">
        <v>222</v>
      </c>
      <c r="D174" s="8" t="s">
        <v>223</v>
      </c>
      <c r="E174" s="26">
        <f t="shared" si="33"/>
        <v>32000000</v>
      </c>
      <c r="F174" s="26">
        <v>32000000</v>
      </c>
      <c r="G174" s="26">
        <v>0</v>
      </c>
      <c r="H174" s="26">
        <v>0</v>
      </c>
      <c r="I174" s="26">
        <v>0</v>
      </c>
      <c r="J174" s="26">
        <f t="shared" si="34"/>
        <v>0</v>
      </c>
      <c r="K174" s="26">
        <v>0</v>
      </c>
      <c r="L174" s="26">
        <v>0</v>
      </c>
      <c r="M174" s="26">
        <v>0</v>
      </c>
      <c r="N174" s="26">
        <v>0</v>
      </c>
      <c r="O174" s="26">
        <v>0</v>
      </c>
      <c r="P174" s="26">
        <f t="shared" si="62"/>
        <v>32000000</v>
      </c>
      <c r="S174" s="33"/>
    </row>
    <row r="175" spans="1:19" ht="31.5">
      <c r="A175" s="22" t="s">
        <v>280</v>
      </c>
      <c r="B175" s="22" t="s">
        <v>269</v>
      </c>
      <c r="C175" s="22" t="s">
        <v>271</v>
      </c>
      <c r="D175" s="8" t="s">
        <v>270</v>
      </c>
      <c r="E175" s="26">
        <f t="shared" si="33"/>
        <v>37220</v>
      </c>
      <c r="F175" s="26">
        <f>551800-400000-65380-49200</f>
        <v>37220</v>
      </c>
      <c r="G175" s="26"/>
      <c r="H175" s="26"/>
      <c r="I175" s="26"/>
      <c r="J175" s="26">
        <f t="shared" si="34"/>
        <v>0</v>
      </c>
      <c r="K175" s="26">
        <f>36000-36000</f>
        <v>0</v>
      </c>
      <c r="L175" s="26"/>
      <c r="M175" s="26"/>
      <c r="N175" s="26"/>
      <c r="O175" s="26">
        <f>36000-36000</f>
        <v>0</v>
      </c>
      <c r="P175" s="26">
        <f t="shared" si="62"/>
        <v>37220</v>
      </c>
      <c r="S175" s="33"/>
    </row>
    <row r="176" spans="1:19">
      <c r="A176" s="22" t="s">
        <v>389</v>
      </c>
      <c r="B176" s="22" t="s">
        <v>348</v>
      </c>
      <c r="C176" s="22" t="s">
        <v>350</v>
      </c>
      <c r="D176" s="8" t="s">
        <v>349</v>
      </c>
      <c r="E176" s="26">
        <f t="shared" si="33"/>
        <v>77727</v>
      </c>
      <c r="F176" s="26"/>
      <c r="G176" s="26"/>
      <c r="H176" s="26"/>
      <c r="I176" s="26">
        <f>97505-19778</f>
        <v>77727</v>
      </c>
      <c r="J176" s="26">
        <f t="shared" si="34"/>
        <v>0</v>
      </c>
      <c r="K176" s="26"/>
      <c r="L176" s="26"/>
      <c r="M176" s="26"/>
      <c r="N176" s="26"/>
      <c r="O176" s="26"/>
      <c r="P176" s="26">
        <f t="shared" si="62"/>
        <v>77727</v>
      </c>
      <c r="S176" s="33"/>
    </row>
    <row r="177" spans="1:19" ht="152.44999999999999" customHeight="1">
      <c r="A177" s="22" t="s">
        <v>390</v>
      </c>
      <c r="B177" s="22" t="s">
        <v>383</v>
      </c>
      <c r="C177" s="22" t="s">
        <v>58</v>
      </c>
      <c r="D177" s="8" t="s">
        <v>384</v>
      </c>
      <c r="E177" s="26">
        <f t="shared" si="33"/>
        <v>0</v>
      </c>
      <c r="F177" s="26"/>
      <c r="G177" s="26"/>
      <c r="H177" s="26"/>
      <c r="I177" s="26"/>
      <c r="J177" s="26">
        <f t="shared" si="34"/>
        <v>5645206.8899999997</v>
      </c>
      <c r="K177" s="26"/>
      <c r="L177" s="26"/>
      <c r="M177" s="26"/>
      <c r="N177" s="26"/>
      <c r="O177" s="26">
        <f>5363291.67+217615-54022.91-9676.87+65000+63000</f>
        <v>5645206.8899999997</v>
      </c>
      <c r="P177" s="26">
        <f t="shared" si="62"/>
        <v>5645206.8899999997</v>
      </c>
      <c r="S177" s="33"/>
    </row>
    <row r="178" spans="1:19" ht="31.5">
      <c r="A178" s="23" t="s">
        <v>224</v>
      </c>
      <c r="B178" s="23" t="s">
        <v>225</v>
      </c>
      <c r="C178" s="23" t="s">
        <v>58</v>
      </c>
      <c r="D178" s="8" t="s">
        <v>226</v>
      </c>
      <c r="E178" s="26">
        <f t="shared" ref="E178:E211" si="63">F178+I178</f>
        <v>104940167.56</v>
      </c>
      <c r="F178" s="26">
        <v>0</v>
      </c>
      <c r="G178" s="26">
        <v>0</v>
      </c>
      <c r="H178" s="26">
        <v>0</v>
      </c>
      <c r="I178" s="26">
        <f>3600000+20000000+30000000+12000000+19266781+600000+468000+13610+7400000+5546776.56+4595000+1450000</f>
        <v>104940167.56</v>
      </c>
      <c r="J178" s="26">
        <f t="shared" si="34"/>
        <v>0</v>
      </c>
      <c r="K178" s="26">
        <v>0</v>
      </c>
      <c r="L178" s="26">
        <v>0</v>
      </c>
      <c r="M178" s="26">
        <v>0</v>
      </c>
      <c r="N178" s="26">
        <v>0</v>
      </c>
      <c r="O178" s="26">
        <v>0</v>
      </c>
      <c r="P178" s="26">
        <f t="shared" si="62"/>
        <v>104940167.56</v>
      </c>
      <c r="S178" s="33"/>
    </row>
    <row r="179" spans="1:19" ht="58.9" customHeight="1">
      <c r="A179" s="23" t="s">
        <v>227</v>
      </c>
      <c r="B179" s="23" t="s">
        <v>228</v>
      </c>
      <c r="C179" s="23" t="s">
        <v>229</v>
      </c>
      <c r="D179" s="8" t="s">
        <v>230</v>
      </c>
      <c r="E179" s="26">
        <f t="shared" si="63"/>
        <v>4839590</v>
      </c>
      <c r="F179" s="26">
        <f>2300000+650000+40000+849590+1000000</f>
        <v>4839590</v>
      </c>
      <c r="G179" s="26">
        <v>0</v>
      </c>
      <c r="H179" s="26">
        <v>0</v>
      </c>
      <c r="I179" s="26">
        <v>0</v>
      </c>
      <c r="J179" s="26">
        <f t="shared" si="34"/>
        <v>0</v>
      </c>
      <c r="K179" s="26">
        <v>0</v>
      </c>
      <c r="L179" s="26">
        <v>0</v>
      </c>
      <c r="M179" s="26">
        <v>0</v>
      </c>
      <c r="N179" s="26">
        <v>0</v>
      </c>
      <c r="O179" s="26">
        <v>0</v>
      </c>
      <c r="P179" s="26">
        <f t="shared" si="62"/>
        <v>4839590</v>
      </c>
      <c r="S179" s="33"/>
    </row>
    <row r="180" spans="1:19" ht="31.5">
      <c r="A180" s="22" t="s">
        <v>325</v>
      </c>
      <c r="B180" s="23">
        <v>8340</v>
      </c>
      <c r="C180" s="23" t="s">
        <v>262</v>
      </c>
      <c r="D180" s="8" t="s">
        <v>263</v>
      </c>
      <c r="E180" s="26">
        <f t="shared" si="63"/>
        <v>0</v>
      </c>
      <c r="F180" s="26"/>
      <c r="G180" s="26"/>
      <c r="H180" s="26"/>
      <c r="I180" s="26"/>
      <c r="J180" s="26">
        <f t="shared" si="34"/>
        <v>1089184</v>
      </c>
      <c r="K180" s="26"/>
      <c r="L180" s="26">
        <f>550000+439184</f>
        <v>989184</v>
      </c>
      <c r="M180" s="26"/>
      <c r="N180" s="26"/>
      <c r="O180" s="26">
        <v>100000</v>
      </c>
      <c r="P180" s="26">
        <f t="shared" si="62"/>
        <v>1089184</v>
      </c>
      <c r="S180" s="33"/>
    </row>
    <row r="181" spans="1:19" s="12" customFormat="1" ht="78.75">
      <c r="A181" s="22" t="s">
        <v>426</v>
      </c>
      <c r="B181" s="23">
        <v>8742</v>
      </c>
      <c r="C181" s="22" t="s">
        <v>54</v>
      </c>
      <c r="D181" s="8" t="s">
        <v>427</v>
      </c>
      <c r="E181" s="26">
        <f t="shared" si="63"/>
        <v>186991</v>
      </c>
      <c r="F181" s="26"/>
      <c r="G181" s="26"/>
      <c r="H181" s="26"/>
      <c r="I181" s="26">
        <v>186991</v>
      </c>
      <c r="J181" s="26"/>
      <c r="K181" s="26"/>
      <c r="L181" s="26"/>
      <c r="M181" s="26"/>
      <c r="N181" s="26"/>
      <c r="O181" s="26"/>
      <c r="P181" s="26">
        <f t="shared" si="62"/>
        <v>186991</v>
      </c>
      <c r="S181" s="34"/>
    </row>
    <row r="182" spans="1:19" s="12" customFormat="1" ht="78.75">
      <c r="A182" s="22" t="s">
        <v>420</v>
      </c>
      <c r="B182" s="23">
        <v>8745</v>
      </c>
      <c r="C182" s="22" t="s">
        <v>291</v>
      </c>
      <c r="D182" s="8" t="s">
        <v>421</v>
      </c>
      <c r="E182" s="26">
        <f t="shared" si="63"/>
        <v>1348824</v>
      </c>
      <c r="F182" s="26"/>
      <c r="G182" s="26"/>
      <c r="H182" s="26"/>
      <c r="I182" s="26">
        <v>1348824</v>
      </c>
      <c r="J182" s="26">
        <f t="shared" si="34"/>
        <v>0</v>
      </c>
      <c r="K182" s="26"/>
      <c r="L182" s="26"/>
      <c r="M182" s="26"/>
      <c r="N182" s="26"/>
      <c r="O182" s="26"/>
      <c r="P182" s="26">
        <f t="shared" si="62"/>
        <v>1348824</v>
      </c>
      <c r="S182" s="34"/>
    </row>
    <row r="183" spans="1:19" ht="94.5">
      <c r="A183" s="22" t="s">
        <v>412</v>
      </c>
      <c r="B183" s="23">
        <v>8746</v>
      </c>
      <c r="C183" s="22" t="s">
        <v>291</v>
      </c>
      <c r="D183" s="8" t="s">
        <v>413</v>
      </c>
      <c r="E183" s="26">
        <f t="shared" si="63"/>
        <v>1223880</v>
      </c>
      <c r="F183" s="26"/>
      <c r="G183" s="26"/>
      <c r="H183" s="26"/>
      <c r="I183" s="26">
        <f>1334427-110547</f>
        <v>1223880</v>
      </c>
      <c r="J183" s="26"/>
      <c r="K183" s="26"/>
      <c r="L183" s="26"/>
      <c r="M183" s="26"/>
      <c r="N183" s="26"/>
      <c r="O183" s="26"/>
      <c r="P183" s="26">
        <f t="shared" si="62"/>
        <v>1223880</v>
      </c>
      <c r="S183" s="33"/>
    </row>
    <row r="184" spans="1:19" ht="70.900000000000006" customHeight="1">
      <c r="A184" s="6" t="s">
        <v>231</v>
      </c>
      <c r="B184" s="6" t="s">
        <v>18</v>
      </c>
      <c r="C184" s="6" t="s">
        <v>18</v>
      </c>
      <c r="D184" s="7" t="s">
        <v>232</v>
      </c>
      <c r="E184" s="25">
        <f t="shared" si="63"/>
        <v>19983872.129999999</v>
      </c>
      <c r="F184" s="25">
        <f>F185</f>
        <v>7309700</v>
      </c>
      <c r="G184" s="25">
        <f t="shared" ref="G184:I184" si="64">G185</f>
        <v>6951900</v>
      </c>
      <c r="H184" s="25">
        <f t="shared" si="64"/>
        <v>0</v>
      </c>
      <c r="I184" s="25">
        <f t="shared" si="64"/>
        <v>12674172.129999999</v>
      </c>
      <c r="J184" s="25">
        <f t="shared" si="34"/>
        <v>106378917.20999999</v>
      </c>
      <c r="K184" s="25">
        <f>K185</f>
        <v>104744626.5</v>
      </c>
      <c r="L184" s="25">
        <f t="shared" ref="L184:O184" si="65">L185</f>
        <v>0</v>
      </c>
      <c r="M184" s="25">
        <f t="shared" si="65"/>
        <v>0</v>
      </c>
      <c r="N184" s="25">
        <f t="shared" si="65"/>
        <v>0</v>
      </c>
      <c r="O184" s="25">
        <f t="shared" si="65"/>
        <v>106378917.20999999</v>
      </c>
      <c r="P184" s="25">
        <f t="shared" si="62"/>
        <v>126362789.33999999</v>
      </c>
      <c r="S184" s="33"/>
    </row>
    <row r="185" spans="1:19" ht="67.900000000000006" customHeight="1">
      <c r="A185" s="6" t="s">
        <v>233</v>
      </c>
      <c r="B185" s="6" t="s">
        <v>18</v>
      </c>
      <c r="C185" s="6" t="s">
        <v>18</v>
      </c>
      <c r="D185" s="7" t="s">
        <v>232</v>
      </c>
      <c r="E185" s="25">
        <f t="shared" si="63"/>
        <v>19983872.129999999</v>
      </c>
      <c r="F185" s="25">
        <f>SUM(F186:F199)</f>
        <v>7309700</v>
      </c>
      <c r="G185" s="25">
        <f t="shared" ref="G185:K185" si="66">SUM(G186:G199)</f>
        <v>6951900</v>
      </c>
      <c r="H185" s="25">
        <f t="shared" si="66"/>
        <v>0</v>
      </c>
      <c r="I185" s="25">
        <f t="shared" si="66"/>
        <v>12674172.129999999</v>
      </c>
      <c r="J185" s="25">
        <f t="shared" si="34"/>
        <v>106378917.20999999</v>
      </c>
      <c r="K185" s="25">
        <f t="shared" si="66"/>
        <v>104744626.5</v>
      </c>
      <c r="L185" s="25">
        <f t="shared" ref="L185" si="67">SUM(L186:L199)</f>
        <v>0</v>
      </c>
      <c r="M185" s="25">
        <f t="shared" ref="M185" si="68">SUM(M186:M199)</f>
        <v>0</v>
      </c>
      <c r="N185" s="25">
        <f t="shared" ref="N185" si="69">SUM(N186:N199)</f>
        <v>0</v>
      </c>
      <c r="O185" s="25">
        <f t="shared" ref="O185" si="70">SUM(O186:O199)</f>
        <v>106378917.20999999</v>
      </c>
      <c r="P185" s="25">
        <f t="shared" si="62"/>
        <v>126362789.33999999</v>
      </c>
      <c r="S185" s="33"/>
    </row>
    <row r="186" spans="1:19" ht="105.6" customHeight="1">
      <c r="A186" s="22">
        <v>1510150</v>
      </c>
      <c r="B186" s="22" t="s">
        <v>22</v>
      </c>
      <c r="C186" s="22" t="s">
        <v>23</v>
      </c>
      <c r="D186" s="8" t="s">
        <v>24</v>
      </c>
      <c r="E186" s="26">
        <f t="shared" si="63"/>
        <v>478997.13</v>
      </c>
      <c r="F186" s="26"/>
      <c r="G186" s="26"/>
      <c r="H186" s="26"/>
      <c r="I186" s="26">
        <f>541176-62178.87</f>
        <v>478997.13</v>
      </c>
      <c r="J186" s="26"/>
      <c r="K186" s="26"/>
      <c r="L186" s="26"/>
      <c r="M186" s="26"/>
      <c r="N186" s="26"/>
      <c r="O186" s="26"/>
      <c r="P186" s="26">
        <f t="shared" si="62"/>
        <v>478997.13</v>
      </c>
      <c r="S186" s="33"/>
    </row>
    <row r="187" spans="1:19" ht="52.15" customHeight="1">
      <c r="A187" s="23" t="s">
        <v>234</v>
      </c>
      <c r="B187" s="23" t="s">
        <v>74</v>
      </c>
      <c r="C187" s="23" t="s">
        <v>23</v>
      </c>
      <c r="D187" s="8" t="s">
        <v>75</v>
      </c>
      <c r="E187" s="26">
        <f t="shared" si="63"/>
        <v>7110700</v>
      </c>
      <c r="F187" s="26">
        <f>7114900+50000-54200</f>
        <v>7110700</v>
      </c>
      <c r="G187" s="26">
        <f>7006100-54200</f>
        <v>6951900</v>
      </c>
      <c r="H187" s="26">
        <v>0</v>
      </c>
      <c r="I187" s="26">
        <v>0</v>
      </c>
      <c r="J187" s="26">
        <f t="shared" si="34"/>
        <v>0</v>
      </c>
      <c r="K187" s="26">
        <v>0</v>
      </c>
      <c r="L187" s="26">
        <v>0</v>
      </c>
      <c r="M187" s="26">
        <v>0</v>
      </c>
      <c r="N187" s="26">
        <v>0</v>
      </c>
      <c r="O187" s="26">
        <v>0</v>
      </c>
      <c r="P187" s="26">
        <f t="shared" si="62"/>
        <v>7110700</v>
      </c>
      <c r="S187" s="33"/>
    </row>
    <row r="188" spans="1:19" ht="58.9" customHeight="1">
      <c r="A188" s="23">
        <v>1510170</v>
      </c>
      <c r="B188" s="23" t="s">
        <v>26</v>
      </c>
      <c r="C188" s="23" t="s">
        <v>27</v>
      </c>
      <c r="D188" s="8" t="s">
        <v>28</v>
      </c>
      <c r="E188" s="26">
        <f t="shared" si="63"/>
        <v>15000</v>
      </c>
      <c r="F188" s="26">
        <v>15000</v>
      </c>
      <c r="G188" s="26">
        <v>0</v>
      </c>
      <c r="H188" s="26">
        <v>0</v>
      </c>
      <c r="I188" s="26">
        <v>0</v>
      </c>
      <c r="J188" s="26">
        <f t="shared" ref="J188:J191" si="71">L188+O188</f>
        <v>0</v>
      </c>
      <c r="K188" s="26">
        <v>0</v>
      </c>
      <c r="L188" s="26">
        <v>0</v>
      </c>
      <c r="M188" s="26">
        <v>0</v>
      </c>
      <c r="N188" s="26">
        <v>0</v>
      </c>
      <c r="O188" s="26">
        <v>0</v>
      </c>
      <c r="P188" s="26">
        <f t="shared" si="62"/>
        <v>15000</v>
      </c>
      <c r="S188" s="33"/>
    </row>
    <row r="189" spans="1:19" ht="42.75" customHeight="1">
      <c r="A189" s="23">
        <v>1510180</v>
      </c>
      <c r="B189" s="23" t="s">
        <v>30</v>
      </c>
      <c r="C189" s="23" t="s">
        <v>31</v>
      </c>
      <c r="D189" s="8" t="s">
        <v>32</v>
      </c>
      <c r="E189" s="26">
        <f t="shared" si="63"/>
        <v>100000</v>
      </c>
      <c r="F189" s="26">
        <f>150000-50000</f>
        <v>100000</v>
      </c>
      <c r="G189" s="26">
        <v>0</v>
      </c>
      <c r="H189" s="26">
        <v>0</v>
      </c>
      <c r="I189" s="26">
        <v>0</v>
      </c>
      <c r="J189" s="26">
        <f t="shared" si="71"/>
        <v>0</v>
      </c>
      <c r="K189" s="26">
        <v>0</v>
      </c>
      <c r="L189" s="26">
        <v>0</v>
      </c>
      <c r="M189" s="26">
        <v>0</v>
      </c>
      <c r="N189" s="26">
        <v>0</v>
      </c>
      <c r="O189" s="26">
        <v>0</v>
      </c>
      <c r="P189" s="26">
        <f t="shared" si="62"/>
        <v>100000</v>
      </c>
      <c r="S189" s="33"/>
    </row>
    <row r="190" spans="1:19" ht="72" customHeight="1">
      <c r="A190" s="23">
        <v>1511300</v>
      </c>
      <c r="B190" s="23">
        <v>1300</v>
      </c>
      <c r="C190" s="22" t="s">
        <v>104</v>
      </c>
      <c r="D190" s="8" t="s">
        <v>361</v>
      </c>
      <c r="E190" s="26">
        <f t="shared" si="63"/>
        <v>0</v>
      </c>
      <c r="F190" s="26"/>
      <c r="G190" s="26"/>
      <c r="H190" s="26"/>
      <c r="I190" s="26"/>
      <c r="J190" s="26">
        <f t="shared" si="71"/>
        <v>67305316.5</v>
      </c>
      <c r="K190" s="26">
        <f>67371232.5-65916</f>
        <v>67305316.5</v>
      </c>
      <c r="L190" s="26"/>
      <c r="M190" s="26"/>
      <c r="N190" s="26"/>
      <c r="O190" s="26">
        <f>67371232.5-65916</f>
        <v>67305316.5</v>
      </c>
      <c r="P190" s="26">
        <f t="shared" si="62"/>
        <v>67305316.5</v>
      </c>
      <c r="S190" s="33"/>
    </row>
    <row r="191" spans="1:19" ht="78.75">
      <c r="A191" s="23">
        <v>1512171</v>
      </c>
      <c r="B191" s="23">
        <v>2171</v>
      </c>
      <c r="C191" s="22" t="s">
        <v>47</v>
      </c>
      <c r="D191" s="8" t="s">
        <v>391</v>
      </c>
      <c r="E191" s="26">
        <f t="shared" si="63"/>
        <v>2050730</v>
      </c>
      <c r="F191" s="26"/>
      <c r="G191" s="26"/>
      <c r="H191" s="26"/>
      <c r="I191" s="26">
        <v>2050730</v>
      </c>
      <c r="J191" s="26">
        <f t="shared" si="71"/>
        <v>5000000</v>
      </c>
      <c r="K191" s="26">
        <f>7050730-2050730</f>
        <v>5000000</v>
      </c>
      <c r="L191" s="26"/>
      <c r="M191" s="26"/>
      <c r="N191" s="26"/>
      <c r="O191" s="26">
        <f>7050730-2050730</f>
        <v>5000000</v>
      </c>
      <c r="P191" s="26">
        <f t="shared" si="62"/>
        <v>7050730</v>
      </c>
      <c r="S191" s="33"/>
    </row>
    <row r="192" spans="1:19" ht="47.25">
      <c r="A192" s="23">
        <v>1516012</v>
      </c>
      <c r="B192" s="23">
        <v>6012</v>
      </c>
      <c r="C192" s="22" t="s">
        <v>54</v>
      </c>
      <c r="D192" s="8" t="s">
        <v>408</v>
      </c>
      <c r="E192" s="26">
        <f t="shared" si="63"/>
        <v>685000</v>
      </c>
      <c r="F192" s="26"/>
      <c r="G192" s="26"/>
      <c r="H192" s="26"/>
      <c r="I192" s="26">
        <f>5280000-4595000</f>
        <v>685000</v>
      </c>
      <c r="J192" s="26"/>
      <c r="K192" s="26"/>
      <c r="L192" s="26"/>
      <c r="M192" s="26"/>
      <c r="N192" s="26"/>
      <c r="O192" s="26"/>
      <c r="P192" s="26">
        <f t="shared" si="62"/>
        <v>685000</v>
      </c>
      <c r="S192" s="33"/>
    </row>
    <row r="193" spans="1:19" ht="31.5">
      <c r="A193" s="23">
        <v>1516015</v>
      </c>
      <c r="B193" s="23">
        <v>6015</v>
      </c>
      <c r="C193" s="22" t="s">
        <v>54</v>
      </c>
      <c r="D193" s="8" t="s">
        <v>215</v>
      </c>
      <c r="E193" s="26">
        <f t="shared" si="63"/>
        <v>402000</v>
      </c>
      <c r="F193" s="26"/>
      <c r="G193" s="26"/>
      <c r="H193" s="26"/>
      <c r="I193" s="26">
        <v>402000</v>
      </c>
      <c r="J193" s="26"/>
      <c r="K193" s="26"/>
      <c r="L193" s="26"/>
      <c r="M193" s="26"/>
      <c r="N193" s="26"/>
      <c r="O193" s="26"/>
      <c r="P193" s="26">
        <f t="shared" si="62"/>
        <v>402000</v>
      </c>
      <c r="S193" s="33"/>
    </row>
    <row r="194" spans="1:19" ht="78.75">
      <c r="A194" s="23">
        <v>1516091</v>
      </c>
      <c r="B194" s="23">
        <v>6091</v>
      </c>
      <c r="C194" s="22" t="s">
        <v>291</v>
      </c>
      <c r="D194" s="8" t="s">
        <v>388</v>
      </c>
      <c r="E194" s="26">
        <f t="shared" si="63"/>
        <v>0</v>
      </c>
      <c r="F194" s="26"/>
      <c r="G194" s="26"/>
      <c r="H194" s="26"/>
      <c r="I194" s="26"/>
      <c r="J194" s="26">
        <f>L194+O194</f>
        <v>32054310</v>
      </c>
      <c r="K194" s="26">
        <f>32334310-5280000+5000000</f>
        <v>32054310</v>
      </c>
      <c r="L194" s="26"/>
      <c r="M194" s="26"/>
      <c r="N194" s="26"/>
      <c r="O194" s="26">
        <f>32334310-5280000+5000000</f>
        <v>32054310</v>
      </c>
      <c r="P194" s="26">
        <f t="shared" si="62"/>
        <v>32054310</v>
      </c>
      <c r="S194" s="33"/>
    </row>
    <row r="195" spans="1:19" ht="90" customHeight="1">
      <c r="A195" s="23">
        <v>1517330</v>
      </c>
      <c r="B195" s="23">
        <v>7330</v>
      </c>
      <c r="C195" s="22" t="s">
        <v>58</v>
      </c>
      <c r="D195" s="8" t="s">
        <v>424</v>
      </c>
      <c r="E195" s="26">
        <f t="shared" si="63"/>
        <v>0</v>
      </c>
      <c r="F195" s="26"/>
      <c r="G195" s="26"/>
      <c r="H195" s="26"/>
      <c r="I195" s="26"/>
      <c r="J195" s="26">
        <f>L195+O195</f>
        <v>385000</v>
      </c>
      <c r="K195" s="26">
        <v>385000</v>
      </c>
      <c r="L195" s="26"/>
      <c r="M195" s="26"/>
      <c r="N195" s="26"/>
      <c r="O195" s="26">
        <v>385000</v>
      </c>
      <c r="P195" s="26">
        <f t="shared" si="62"/>
        <v>385000</v>
      </c>
      <c r="S195" s="33"/>
    </row>
    <row r="196" spans="1:19" ht="39" customHeight="1">
      <c r="A196" s="23">
        <v>1517370</v>
      </c>
      <c r="B196" s="23">
        <v>7370</v>
      </c>
      <c r="C196" s="22" t="s">
        <v>58</v>
      </c>
      <c r="D196" s="8" t="s">
        <v>409</v>
      </c>
      <c r="E196" s="26">
        <f t="shared" si="63"/>
        <v>8972445</v>
      </c>
      <c r="F196" s="26"/>
      <c r="G196" s="26"/>
      <c r="H196" s="26"/>
      <c r="I196" s="26">
        <v>8972445</v>
      </c>
      <c r="J196" s="26"/>
      <c r="K196" s="26"/>
      <c r="L196" s="26"/>
      <c r="M196" s="26"/>
      <c r="N196" s="26"/>
      <c r="O196" s="26"/>
      <c r="P196" s="26">
        <f t="shared" si="62"/>
        <v>8972445</v>
      </c>
      <c r="S196" s="33"/>
    </row>
    <row r="197" spans="1:19" ht="39.6" customHeight="1">
      <c r="A197" s="22" t="s">
        <v>281</v>
      </c>
      <c r="B197" s="22" t="s">
        <v>269</v>
      </c>
      <c r="C197" s="22" t="s">
        <v>271</v>
      </c>
      <c r="D197" s="8" t="s">
        <v>270</v>
      </c>
      <c r="E197" s="26">
        <f t="shared" si="63"/>
        <v>84000</v>
      </c>
      <c r="F197" s="26">
        <v>84000</v>
      </c>
      <c r="G197" s="26"/>
      <c r="H197" s="26"/>
      <c r="I197" s="26"/>
      <c r="J197" s="26">
        <f t="shared" si="34"/>
        <v>0</v>
      </c>
      <c r="K197" s="26"/>
      <c r="L197" s="26"/>
      <c r="M197" s="26"/>
      <c r="N197" s="26"/>
      <c r="O197" s="26"/>
      <c r="P197" s="26">
        <f t="shared" si="62"/>
        <v>84000</v>
      </c>
      <c r="S197" s="33"/>
    </row>
    <row r="198" spans="1:19" ht="157.9" customHeight="1">
      <c r="A198" s="22" t="s">
        <v>392</v>
      </c>
      <c r="B198" s="22" t="s">
        <v>383</v>
      </c>
      <c r="C198" s="22" t="s">
        <v>58</v>
      </c>
      <c r="D198" s="8" t="s">
        <v>384</v>
      </c>
      <c r="E198" s="26">
        <f t="shared" si="63"/>
        <v>0</v>
      </c>
      <c r="F198" s="26"/>
      <c r="G198" s="26"/>
      <c r="H198" s="26"/>
      <c r="I198" s="26"/>
      <c r="J198" s="26">
        <f t="shared" ref="J198:J199" si="72">L198+O198</f>
        <v>1634290.71</v>
      </c>
      <c r="K198" s="26"/>
      <c r="L198" s="26"/>
      <c r="M198" s="26"/>
      <c r="N198" s="26"/>
      <c r="O198" s="26">
        <v>1634290.71</v>
      </c>
      <c r="P198" s="26">
        <f t="shared" ref="P198:P199" si="73">E198 + J198</f>
        <v>1634290.71</v>
      </c>
      <c r="S198" s="33"/>
    </row>
    <row r="199" spans="1:19" ht="47.25">
      <c r="A199" s="23">
        <v>1518110</v>
      </c>
      <c r="B199" s="23" t="s">
        <v>228</v>
      </c>
      <c r="C199" s="23" t="s">
        <v>229</v>
      </c>
      <c r="D199" s="8" t="s">
        <v>230</v>
      </c>
      <c r="E199" s="26">
        <f t="shared" ref="E199" si="74">F199+I199</f>
        <v>85000</v>
      </c>
      <c r="F199" s="26"/>
      <c r="G199" s="26">
        <v>0</v>
      </c>
      <c r="H199" s="26">
        <v>0</v>
      </c>
      <c r="I199" s="26">
        <f>270000+400000-385000-200000</f>
        <v>85000</v>
      </c>
      <c r="J199" s="26">
        <f t="shared" si="72"/>
        <v>0</v>
      </c>
      <c r="K199" s="26">
        <v>0</v>
      </c>
      <c r="L199" s="26">
        <v>0</v>
      </c>
      <c r="M199" s="26">
        <v>0</v>
      </c>
      <c r="N199" s="26">
        <v>0</v>
      </c>
      <c r="O199" s="26">
        <v>0</v>
      </c>
      <c r="P199" s="26">
        <f t="shared" si="73"/>
        <v>85000</v>
      </c>
      <c r="S199" s="33"/>
    </row>
    <row r="200" spans="1:19" ht="68.45" customHeight="1">
      <c r="A200" s="6" t="s">
        <v>235</v>
      </c>
      <c r="B200" s="6" t="s">
        <v>18</v>
      </c>
      <c r="C200" s="6" t="s">
        <v>18</v>
      </c>
      <c r="D200" s="7" t="s">
        <v>236</v>
      </c>
      <c r="E200" s="25">
        <f t="shared" si="63"/>
        <v>32102171</v>
      </c>
      <c r="F200" s="25">
        <f>F201</f>
        <v>7566900</v>
      </c>
      <c r="G200" s="25">
        <f t="shared" ref="G200:I200" si="75">G201</f>
        <v>5703800</v>
      </c>
      <c r="H200" s="25">
        <f t="shared" si="75"/>
        <v>0</v>
      </c>
      <c r="I200" s="25">
        <f t="shared" si="75"/>
        <v>24535271</v>
      </c>
      <c r="J200" s="25">
        <f t="shared" si="34"/>
        <v>0</v>
      </c>
      <c r="K200" s="25">
        <f>K201</f>
        <v>0</v>
      </c>
      <c r="L200" s="25">
        <f t="shared" ref="L200:O200" si="76">L201</f>
        <v>0</v>
      </c>
      <c r="M200" s="25">
        <f t="shared" si="76"/>
        <v>0</v>
      </c>
      <c r="N200" s="25">
        <f t="shared" si="76"/>
        <v>0</v>
      </c>
      <c r="O200" s="25">
        <f t="shared" si="76"/>
        <v>0</v>
      </c>
      <c r="P200" s="25">
        <f t="shared" si="62"/>
        <v>32102171</v>
      </c>
      <c r="S200" s="33"/>
    </row>
    <row r="201" spans="1:19" ht="66.599999999999994" customHeight="1">
      <c r="A201" s="6" t="s">
        <v>237</v>
      </c>
      <c r="B201" s="6" t="s">
        <v>18</v>
      </c>
      <c r="C201" s="6" t="s">
        <v>18</v>
      </c>
      <c r="D201" s="7" t="s">
        <v>236</v>
      </c>
      <c r="E201" s="25">
        <f t="shared" si="63"/>
        <v>32102171</v>
      </c>
      <c r="F201" s="25">
        <f>SUM(F202:F211)</f>
        <v>7566900</v>
      </c>
      <c r="G201" s="25">
        <f t="shared" ref="G201:K201" si="77">SUM(G202:G211)</f>
        <v>5703800</v>
      </c>
      <c r="H201" s="25">
        <f t="shared" si="77"/>
        <v>0</v>
      </c>
      <c r="I201" s="25">
        <f t="shared" si="77"/>
        <v>24535271</v>
      </c>
      <c r="J201" s="25">
        <f t="shared" si="34"/>
        <v>0</v>
      </c>
      <c r="K201" s="25">
        <f t="shared" si="77"/>
        <v>0</v>
      </c>
      <c r="L201" s="25">
        <f t="shared" ref="L201" si="78">SUM(L202:L211)</f>
        <v>0</v>
      </c>
      <c r="M201" s="25">
        <f t="shared" ref="M201" si="79">SUM(M202:M211)</f>
        <v>0</v>
      </c>
      <c r="N201" s="25">
        <f t="shared" ref="N201" si="80">SUM(N202:N211)</f>
        <v>0</v>
      </c>
      <c r="O201" s="25">
        <f t="shared" ref="O201" si="81">SUM(O202:O211)</f>
        <v>0</v>
      </c>
      <c r="P201" s="25">
        <f t="shared" si="62"/>
        <v>32102171</v>
      </c>
      <c r="S201" s="33"/>
    </row>
    <row r="202" spans="1:19" ht="51" customHeight="1">
      <c r="A202" s="23" t="s">
        <v>238</v>
      </c>
      <c r="B202" s="23" t="s">
        <v>74</v>
      </c>
      <c r="C202" s="23" t="s">
        <v>23</v>
      </c>
      <c r="D202" s="8" t="s">
        <v>75</v>
      </c>
      <c r="E202" s="26">
        <f t="shared" si="63"/>
        <v>5924100</v>
      </c>
      <c r="F202" s="26">
        <f>5908000+98000-81900</f>
        <v>5924100</v>
      </c>
      <c r="G202" s="26">
        <f>5785700-81900</f>
        <v>5703800</v>
      </c>
      <c r="H202" s="26">
        <v>0</v>
      </c>
      <c r="I202" s="26">
        <v>0</v>
      </c>
      <c r="J202" s="26">
        <f t="shared" si="34"/>
        <v>0</v>
      </c>
      <c r="K202" s="26">
        <v>0</v>
      </c>
      <c r="L202" s="26">
        <v>0</v>
      </c>
      <c r="M202" s="26">
        <v>0</v>
      </c>
      <c r="N202" s="26">
        <v>0</v>
      </c>
      <c r="O202" s="26">
        <v>0</v>
      </c>
      <c r="P202" s="26">
        <f t="shared" si="62"/>
        <v>5924100</v>
      </c>
      <c r="S202" s="33"/>
    </row>
    <row r="203" spans="1:19" ht="47.25">
      <c r="A203" s="23">
        <v>3110170</v>
      </c>
      <c r="B203" s="23" t="s">
        <v>26</v>
      </c>
      <c r="C203" s="23" t="s">
        <v>27</v>
      </c>
      <c r="D203" s="8" t="s">
        <v>28</v>
      </c>
      <c r="E203" s="26">
        <f t="shared" ref="E203" si="82">F203+I203</f>
        <v>4500</v>
      </c>
      <c r="F203" s="26">
        <v>4500</v>
      </c>
      <c r="G203" s="26">
        <v>0</v>
      </c>
      <c r="H203" s="26">
        <v>0</v>
      </c>
      <c r="I203" s="26">
        <v>0</v>
      </c>
      <c r="J203" s="26">
        <f t="shared" si="34"/>
        <v>0</v>
      </c>
      <c r="K203" s="26">
        <v>0</v>
      </c>
      <c r="L203" s="26">
        <v>0</v>
      </c>
      <c r="M203" s="26">
        <v>0</v>
      </c>
      <c r="N203" s="26">
        <v>0</v>
      </c>
      <c r="O203" s="26">
        <v>0</v>
      </c>
      <c r="P203" s="26">
        <f t="shared" ref="P203" si="83">E203 + J203</f>
        <v>4500</v>
      </c>
      <c r="S203" s="33"/>
    </row>
    <row r="204" spans="1:19" ht="44.25" customHeight="1">
      <c r="A204" s="23" t="s">
        <v>239</v>
      </c>
      <c r="B204" s="23" t="s">
        <v>30</v>
      </c>
      <c r="C204" s="23" t="s">
        <v>31</v>
      </c>
      <c r="D204" s="8" t="s">
        <v>32</v>
      </c>
      <c r="E204" s="26">
        <f t="shared" si="63"/>
        <v>65000</v>
      </c>
      <c r="F204" s="26">
        <v>65000</v>
      </c>
      <c r="G204" s="26">
        <v>0</v>
      </c>
      <c r="H204" s="26">
        <v>0</v>
      </c>
      <c r="I204" s="26">
        <v>0</v>
      </c>
      <c r="J204" s="26">
        <f t="shared" si="34"/>
        <v>0</v>
      </c>
      <c r="K204" s="26">
        <v>0</v>
      </c>
      <c r="L204" s="26">
        <v>0</v>
      </c>
      <c r="M204" s="26">
        <v>0</v>
      </c>
      <c r="N204" s="26">
        <v>0</v>
      </c>
      <c r="O204" s="26">
        <v>0</v>
      </c>
      <c r="P204" s="26">
        <f t="shared" si="62"/>
        <v>65000</v>
      </c>
      <c r="S204" s="33"/>
    </row>
    <row r="205" spans="1:19" ht="56.25" customHeight="1">
      <c r="A205" s="23" t="s">
        <v>240</v>
      </c>
      <c r="B205" s="23" t="s">
        <v>217</v>
      </c>
      <c r="C205" s="23" t="s">
        <v>54</v>
      </c>
      <c r="D205" s="8" t="s">
        <v>218</v>
      </c>
      <c r="E205" s="26">
        <f t="shared" si="63"/>
        <v>243200</v>
      </c>
      <c r="F205" s="26">
        <f>227200+5000+11000</f>
        <v>243200</v>
      </c>
      <c r="G205" s="26">
        <v>0</v>
      </c>
      <c r="H205" s="26">
        <v>0</v>
      </c>
      <c r="I205" s="26">
        <v>0</v>
      </c>
      <c r="J205" s="26">
        <f t="shared" si="34"/>
        <v>0</v>
      </c>
      <c r="K205" s="26">
        <v>0</v>
      </c>
      <c r="L205" s="26">
        <v>0</v>
      </c>
      <c r="M205" s="26">
        <v>0</v>
      </c>
      <c r="N205" s="26">
        <v>0</v>
      </c>
      <c r="O205" s="26">
        <v>0</v>
      </c>
      <c r="P205" s="26">
        <f t="shared" si="62"/>
        <v>243200</v>
      </c>
      <c r="S205" s="33"/>
    </row>
    <row r="206" spans="1:19" s="12" customFormat="1" ht="42.75" customHeight="1">
      <c r="A206" s="22" t="s">
        <v>292</v>
      </c>
      <c r="B206" s="23">
        <v>6090</v>
      </c>
      <c r="C206" s="22" t="s">
        <v>291</v>
      </c>
      <c r="D206" s="8" t="s">
        <v>290</v>
      </c>
      <c r="E206" s="26">
        <f t="shared" si="63"/>
        <v>1150000</v>
      </c>
      <c r="F206" s="26"/>
      <c r="G206" s="26">
        <v>0</v>
      </c>
      <c r="H206" s="26">
        <v>0</v>
      </c>
      <c r="I206" s="26">
        <v>1150000</v>
      </c>
      <c r="J206" s="26">
        <f t="shared" si="34"/>
        <v>0</v>
      </c>
      <c r="K206" s="26">
        <v>0</v>
      </c>
      <c r="L206" s="26">
        <v>0</v>
      </c>
      <c r="M206" s="26">
        <v>0</v>
      </c>
      <c r="N206" s="26">
        <v>0</v>
      </c>
      <c r="O206" s="26">
        <v>0</v>
      </c>
      <c r="P206" s="26">
        <f t="shared" si="62"/>
        <v>1150000</v>
      </c>
      <c r="S206" s="33"/>
    </row>
    <row r="207" spans="1:19" ht="28.15" customHeight="1">
      <c r="A207" s="23" t="s">
        <v>241</v>
      </c>
      <c r="B207" s="23" t="s">
        <v>242</v>
      </c>
      <c r="C207" s="23" t="s">
        <v>243</v>
      </c>
      <c r="D207" s="8" t="s">
        <v>244</v>
      </c>
      <c r="E207" s="26">
        <f t="shared" si="63"/>
        <v>861000</v>
      </c>
      <c r="F207" s="26">
        <f>1200000-103000-11000-325000</f>
        <v>761000</v>
      </c>
      <c r="G207" s="26">
        <v>0</v>
      </c>
      <c r="H207" s="26">
        <v>0</v>
      </c>
      <c r="I207" s="26">
        <v>100000</v>
      </c>
      <c r="J207" s="26">
        <f t="shared" si="34"/>
        <v>0</v>
      </c>
      <c r="K207" s="26">
        <v>0</v>
      </c>
      <c r="L207" s="26">
        <v>0</v>
      </c>
      <c r="M207" s="26">
        <v>0</v>
      </c>
      <c r="N207" s="26">
        <v>0</v>
      </c>
      <c r="O207" s="26">
        <v>0</v>
      </c>
      <c r="P207" s="26">
        <f t="shared" si="62"/>
        <v>861000</v>
      </c>
      <c r="S207" s="33"/>
    </row>
    <row r="208" spans="1:19" ht="41.25" customHeight="1">
      <c r="A208" s="22" t="s">
        <v>282</v>
      </c>
      <c r="B208" s="22" t="s">
        <v>269</v>
      </c>
      <c r="C208" s="22" t="s">
        <v>271</v>
      </c>
      <c r="D208" s="8" t="s">
        <v>270</v>
      </c>
      <c r="E208" s="26">
        <f t="shared" si="63"/>
        <v>23100</v>
      </c>
      <c r="F208" s="26">
        <v>23100</v>
      </c>
      <c r="G208" s="26"/>
      <c r="H208" s="26"/>
      <c r="I208" s="26"/>
      <c r="J208" s="26">
        <f t="shared" si="34"/>
        <v>0</v>
      </c>
      <c r="K208" s="26"/>
      <c r="L208" s="26"/>
      <c r="M208" s="26"/>
      <c r="N208" s="26"/>
      <c r="O208" s="26"/>
      <c r="P208" s="26">
        <f t="shared" si="62"/>
        <v>23100</v>
      </c>
      <c r="S208" s="33"/>
    </row>
    <row r="209" spans="1:19" ht="40.5" customHeight="1">
      <c r="A209" s="23" t="s">
        <v>246</v>
      </c>
      <c r="B209" s="23" t="s">
        <v>225</v>
      </c>
      <c r="C209" s="23" t="s">
        <v>58</v>
      </c>
      <c r="D209" s="8" t="s">
        <v>226</v>
      </c>
      <c r="E209" s="26">
        <f t="shared" si="63"/>
        <v>23285271</v>
      </c>
      <c r="F209" s="26">
        <v>0</v>
      </c>
      <c r="G209" s="26">
        <v>0</v>
      </c>
      <c r="H209" s="26">
        <v>0</v>
      </c>
      <c r="I209" s="26">
        <f>22049300+791571+31400+413000</f>
        <v>23285271</v>
      </c>
      <c r="J209" s="26">
        <f t="shared" si="34"/>
        <v>0</v>
      </c>
      <c r="K209" s="26">
        <v>0</v>
      </c>
      <c r="L209" s="26">
        <v>0</v>
      </c>
      <c r="M209" s="26">
        <v>0</v>
      </c>
      <c r="N209" s="26">
        <v>0</v>
      </c>
      <c r="O209" s="26">
        <v>0</v>
      </c>
      <c r="P209" s="26">
        <f t="shared" si="62"/>
        <v>23285271</v>
      </c>
      <c r="S209" s="33"/>
    </row>
    <row r="210" spans="1:19" ht="47.25">
      <c r="A210" s="23">
        <v>3118110</v>
      </c>
      <c r="B210" s="23">
        <v>8110</v>
      </c>
      <c r="C210" s="23" t="s">
        <v>229</v>
      </c>
      <c r="D210" s="8" t="s">
        <v>230</v>
      </c>
      <c r="E210" s="26">
        <f t="shared" si="63"/>
        <v>315000</v>
      </c>
      <c r="F210" s="26">
        <f>300000+15000</f>
        <v>315000</v>
      </c>
      <c r="G210" s="26"/>
      <c r="H210" s="26"/>
      <c r="I210" s="26"/>
      <c r="J210" s="26">
        <f t="shared" si="34"/>
        <v>0</v>
      </c>
      <c r="K210" s="26"/>
      <c r="L210" s="26"/>
      <c r="M210" s="26"/>
      <c r="N210" s="26"/>
      <c r="O210" s="26"/>
      <c r="P210" s="26">
        <f t="shared" si="62"/>
        <v>315000</v>
      </c>
      <c r="S210" s="33"/>
    </row>
    <row r="211" spans="1:19" ht="40.5" customHeight="1">
      <c r="A211" s="23" t="s">
        <v>247</v>
      </c>
      <c r="B211" s="23" t="s">
        <v>248</v>
      </c>
      <c r="C211" s="23" t="s">
        <v>62</v>
      </c>
      <c r="D211" s="8" t="s">
        <v>249</v>
      </c>
      <c r="E211" s="26">
        <f t="shared" si="63"/>
        <v>231000</v>
      </c>
      <c r="F211" s="26">
        <f>166000+65000</f>
        <v>231000</v>
      </c>
      <c r="G211" s="26">
        <v>0</v>
      </c>
      <c r="H211" s="26">
        <v>0</v>
      </c>
      <c r="I211" s="26">
        <v>0</v>
      </c>
      <c r="J211" s="26">
        <f t="shared" si="34"/>
        <v>0</v>
      </c>
      <c r="K211" s="26">
        <v>0</v>
      </c>
      <c r="L211" s="26">
        <v>0</v>
      </c>
      <c r="M211" s="26">
        <v>0</v>
      </c>
      <c r="N211" s="26">
        <v>0</v>
      </c>
      <c r="O211" s="26">
        <v>0</v>
      </c>
      <c r="P211" s="26">
        <f t="shared" si="62"/>
        <v>231000</v>
      </c>
      <c r="S211" s="33"/>
    </row>
    <row r="212" spans="1:19" ht="60.75" customHeight="1">
      <c r="A212" s="6" t="s">
        <v>250</v>
      </c>
      <c r="B212" s="6" t="s">
        <v>18</v>
      </c>
      <c r="C212" s="6" t="s">
        <v>18</v>
      </c>
      <c r="D212" s="7" t="s">
        <v>251</v>
      </c>
      <c r="E212" s="25">
        <f>E213</f>
        <v>173828400.17000002</v>
      </c>
      <c r="F212" s="25">
        <f>F213</f>
        <v>134003845.17</v>
      </c>
      <c r="G212" s="25">
        <f t="shared" ref="G212:I212" si="84">G213</f>
        <v>8572700</v>
      </c>
      <c r="H212" s="25">
        <f t="shared" si="84"/>
        <v>0</v>
      </c>
      <c r="I212" s="25">
        <f t="shared" si="84"/>
        <v>34828000</v>
      </c>
      <c r="J212" s="25">
        <f t="shared" si="34"/>
        <v>1680000</v>
      </c>
      <c r="K212" s="25">
        <f>K213</f>
        <v>1680000</v>
      </c>
      <c r="L212" s="25">
        <f t="shared" ref="L212:O212" si="85">L213</f>
        <v>0</v>
      </c>
      <c r="M212" s="25">
        <f t="shared" si="85"/>
        <v>0</v>
      </c>
      <c r="N212" s="25">
        <f t="shared" si="85"/>
        <v>0</v>
      </c>
      <c r="O212" s="25">
        <f t="shared" si="85"/>
        <v>1680000</v>
      </c>
      <c r="P212" s="25">
        <f t="shared" si="62"/>
        <v>175508400.17000002</v>
      </c>
      <c r="S212" s="33"/>
    </row>
    <row r="213" spans="1:19" ht="60" customHeight="1">
      <c r="A213" s="6" t="s">
        <v>252</v>
      </c>
      <c r="B213" s="6" t="s">
        <v>18</v>
      </c>
      <c r="C213" s="6" t="s">
        <v>18</v>
      </c>
      <c r="D213" s="7" t="s">
        <v>251</v>
      </c>
      <c r="E213" s="25">
        <f>F213+I213+E216</f>
        <v>173828400.17000002</v>
      </c>
      <c r="F213" s="25">
        <f>F214+F215+F216+F217+F218+F219+F220</f>
        <v>134003845.17</v>
      </c>
      <c r="G213" s="25">
        <f t="shared" ref="G213:K213" si="86">G214+G215+G216+G217+G218+G219+G220</f>
        <v>8572700</v>
      </c>
      <c r="H213" s="25">
        <f t="shared" si="86"/>
        <v>0</v>
      </c>
      <c r="I213" s="25">
        <f t="shared" si="86"/>
        <v>34828000</v>
      </c>
      <c r="J213" s="25">
        <f t="shared" ref="J213:J218" si="87">L213+O213</f>
        <v>1680000</v>
      </c>
      <c r="K213" s="25">
        <f t="shared" si="86"/>
        <v>1680000</v>
      </c>
      <c r="L213" s="25">
        <f t="shared" ref="L213" si="88">L214+L215+L216+L217+L218+L219+L220</f>
        <v>0</v>
      </c>
      <c r="M213" s="25">
        <f t="shared" ref="M213" si="89">M214+M215+M216+M217+M218+M219+M220</f>
        <v>0</v>
      </c>
      <c r="N213" s="25">
        <f t="shared" ref="N213" si="90">N214+N215+N216+N217+N218+N219+N220</f>
        <v>0</v>
      </c>
      <c r="O213" s="25">
        <f t="shared" ref="O213" si="91">O214+O215+O216+O217+O218+O219+O220</f>
        <v>1680000</v>
      </c>
      <c r="P213" s="25">
        <f t="shared" si="62"/>
        <v>175508400.17000002</v>
      </c>
      <c r="S213" s="33"/>
    </row>
    <row r="214" spans="1:19" ht="70.5" customHeight="1">
      <c r="A214" s="23" t="s">
        <v>253</v>
      </c>
      <c r="B214" s="23" t="s">
        <v>74</v>
      </c>
      <c r="C214" s="23" t="s">
        <v>23</v>
      </c>
      <c r="D214" s="8" t="s">
        <v>75</v>
      </c>
      <c r="E214" s="26">
        <f>F214+I214</f>
        <v>8914533.1699999999</v>
      </c>
      <c r="F214" s="26">
        <f>8469200-3000+396833.17</f>
        <v>8863033.1699999999</v>
      </c>
      <c r="G214" s="26">
        <f>8142800+429900</f>
        <v>8572700</v>
      </c>
      <c r="H214" s="26">
        <v>0</v>
      </c>
      <c r="I214" s="26">
        <f>99000-47500</f>
        <v>51500</v>
      </c>
      <c r="J214" s="26">
        <f t="shared" si="87"/>
        <v>0</v>
      </c>
      <c r="K214" s="26"/>
      <c r="L214" s="26">
        <v>0</v>
      </c>
      <c r="M214" s="26">
        <v>0</v>
      </c>
      <c r="N214" s="26">
        <v>0</v>
      </c>
      <c r="O214" s="26"/>
      <c r="P214" s="26">
        <f t="shared" si="62"/>
        <v>8914533.1699999999</v>
      </c>
      <c r="S214" s="33"/>
    </row>
    <row r="215" spans="1:19" ht="31.5">
      <c r="A215" s="22" t="s">
        <v>283</v>
      </c>
      <c r="B215" s="22" t="s">
        <v>269</v>
      </c>
      <c r="C215" s="22" t="s">
        <v>271</v>
      </c>
      <c r="D215" s="8" t="s">
        <v>270</v>
      </c>
      <c r="E215" s="26">
        <f t="shared" ref="E215" si="92">F215+I215</f>
        <v>169100</v>
      </c>
      <c r="F215" s="26">
        <f>118600+50500-30000</f>
        <v>139100</v>
      </c>
      <c r="G215" s="26"/>
      <c r="H215" s="26"/>
      <c r="I215" s="26">
        <v>30000</v>
      </c>
      <c r="J215" s="26">
        <f t="shared" si="87"/>
        <v>0</v>
      </c>
      <c r="K215" s="26">
        <v>0</v>
      </c>
      <c r="L215" s="26"/>
      <c r="M215" s="26"/>
      <c r="N215" s="26"/>
      <c r="O215" s="26">
        <v>0</v>
      </c>
      <c r="P215" s="26">
        <f t="shared" si="62"/>
        <v>169100</v>
      </c>
      <c r="S215" s="33"/>
    </row>
    <row r="216" spans="1:19" ht="23.45" customHeight="1">
      <c r="A216" s="23" t="s">
        <v>254</v>
      </c>
      <c r="B216" s="23" t="s">
        <v>255</v>
      </c>
      <c r="C216" s="23" t="s">
        <v>31</v>
      </c>
      <c r="D216" s="8" t="s">
        <v>256</v>
      </c>
      <c r="E216" s="26">
        <f>10000000-500000-300000-1519427-1535815-1258750+110547</f>
        <v>4996555</v>
      </c>
      <c r="F216" s="26">
        <v>0</v>
      </c>
      <c r="G216" s="26">
        <v>0</v>
      </c>
      <c r="H216" s="26">
        <v>0</v>
      </c>
      <c r="I216" s="26">
        <v>0</v>
      </c>
      <c r="J216" s="26">
        <f t="shared" si="87"/>
        <v>0</v>
      </c>
      <c r="K216" s="26">
        <v>0</v>
      </c>
      <c r="L216" s="26">
        <v>0</v>
      </c>
      <c r="M216" s="26">
        <v>0</v>
      </c>
      <c r="N216" s="26">
        <v>0</v>
      </c>
      <c r="O216" s="26">
        <v>0</v>
      </c>
      <c r="P216" s="26">
        <f t="shared" si="62"/>
        <v>4996555</v>
      </c>
      <c r="S216" s="33"/>
    </row>
    <row r="217" spans="1:19" ht="23.45" customHeight="1">
      <c r="A217" s="23">
        <v>3719110</v>
      </c>
      <c r="B217" s="23">
        <v>9110</v>
      </c>
      <c r="C217" s="22" t="s">
        <v>30</v>
      </c>
      <c r="D217" s="8" t="s">
        <v>284</v>
      </c>
      <c r="E217" s="26">
        <f>F217+I217</f>
        <v>79482900</v>
      </c>
      <c r="F217" s="26">
        <v>79482900</v>
      </c>
      <c r="G217" s="26"/>
      <c r="H217" s="26"/>
      <c r="I217" s="26"/>
      <c r="J217" s="26">
        <f t="shared" si="87"/>
        <v>0</v>
      </c>
      <c r="K217" s="26"/>
      <c r="L217" s="26"/>
      <c r="M217" s="26"/>
      <c r="N217" s="26"/>
      <c r="O217" s="26"/>
      <c r="P217" s="26">
        <f t="shared" si="62"/>
        <v>79482900</v>
      </c>
      <c r="S217" s="33"/>
    </row>
    <row r="218" spans="1:19" ht="63">
      <c r="A218" s="23">
        <v>3719720</v>
      </c>
      <c r="B218" s="23">
        <v>9720</v>
      </c>
      <c r="C218" s="22" t="s">
        <v>30</v>
      </c>
      <c r="D218" s="8" t="s">
        <v>403</v>
      </c>
      <c r="E218" s="26">
        <f>F218+I218</f>
        <v>0</v>
      </c>
      <c r="F218" s="26"/>
      <c r="G218" s="26"/>
      <c r="H218" s="26"/>
      <c r="I218" s="26"/>
      <c r="J218" s="26">
        <f t="shared" si="87"/>
        <v>1680000</v>
      </c>
      <c r="K218" s="26">
        <v>1680000</v>
      </c>
      <c r="L218" s="26"/>
      <c r="M218" s="26"/>
      <c r="N218" s="26"/>
      <c r="O218" s="26">
        <v>1680000</v>
      </c>
      <c r="P218" s="26">
        <f t="shared" si="62"/>
        <v>1680000</v>
      </c>
      <c r="S218" s="33"/>
    </row>
    <row r="219" spans="1:19" ht="23.45" customHeight="1">
      <c r="A219" s="23" t="s">
        <v>257</v>
      </c>
      <c r="B219" s="23" t="s">
        <v>258</v>
      </c>
      <c r="C219" s="23" t="s">
        <v>30</v>
      </c>
      <c r="D219" s="8" t="s">
        <v>259</v>
      </c>
      <c r="E219" s="26">
        <f>F219+I219</f>
        <v>13102800</v>
      </c>
      <c r="F219" s="26">
        <f>5924800-2000000+404500+578000+400000+5800000+100000+1800000</f>
        <v>13007300</v>
      </c>
      <c r="G219" s="26"/>
      <c r="H219" s="26"/>
      <c r="I219" s="26">
        <f>500000-404500</f>
        <v>95500</v>
      </c>
      <c r="J219" s="26"/>
      <c r="K219" s="26"/>
      <c r="L219" s="26"/>
      <c r="M219" s="26"/>
      <c r="N219" s="26"/>
      <c r="O219" s="26"/>
      <c r="P219" s="26">
        <f t="shared" si="62"/>
        <v>13102800</v>
      </c>
      <c r="S219" s="33"/>
    </row>
    <row r="220" spans="1:19" s="12" customFormat="1" ht="63">
      <c r="A220" s="23">
        <v>3719800</v>
      </c>
      <c r="B220" s="23">
        <v>9800</v>
      </c>
      <c r="C220" s="22" t="s">
        <v>30</v>
      </c>
      <c r="D220" s="35" t="s">
        <v>321</v>
      </c>
      <c r="E220" s="26">
        <f t="shared" ref="E220" si="93">F220+I220</f>
        <v>67162512</v>
      </c>
      <c r="F220" s="26">
        <f>2625212+1890000+48000000+500000-5000000-11000000-3700+500000-5800000+200000+600000</f>
        <v>32511512</v>
      </c>
      <c r="G220" s="26"/>
      <c r="H220" s="26"/>
      <c r="I220" s="26">
        <f>4000000+1110000+12000000+5000000+610000+11000000-419000+550000-200000+1000000</f>
        <v>34651000</v>
      </c>
      <c r="J220" s="26"/>
      <c r="K220" s="26"/>
      <c r="L220" s="26"/>
      <c r="M220" s="26"/>
      <c r="N220" s="26"/>
      <c r="O220" s="26"/>
      <c r="P220" s="26">
        <f t="shared" si="62"/>
        <v>67162512</v>
      </c>
      <c r="Q220" s="2"/>
      <c r="S220" s="33"/>
    </row>
    <row r="221" spans="1:19" ht="19.899999999999999" customHeight="1">
      <c r="A221" s="6" t="s">
        <v>261</v>
      </c>
      <c r="B221" s="6" t="s">
        <v>261</v>
      </c>
      <c r="C221" s="6" t="s">
        <v>261</v>
      </c>
      <c r="D221" s="10" t="s">
        <v>260</v>
      </c>
      <c r="E221" s="25">
        <f>E18+E69+E101+E130+E136+E150+E162+E184+E200+E212</f>
        <v>1648558000.4900002</v>
      </c>
      <c r="F221" s="25">
        <f>F18+F69+F101+F130+F136+F150+F162+F184+F200+F212</f>
        <v>1302201588.5600002</v>
      </c>
      <c r="G221" s="25">
        <f>G18+G69+G101+G130+G136+G150+G162+G184+G200+G212</f>
        <v>734058140</v>
      </c>
      <c r="H221" s="25">
        <f>H18+H69+H101+H130+H136+H150+H162+H184+H200+H212</f>
        <v>53836306.519999996</v>
      </c>
      <c r="I221" s="25">
        <f>I18+I69+I101+I130+I136+I150+I162+I184+I200+I212</f>
        <v>341359856.93000001</v>
      </c>
      <c r="J221" s="25">
        <f>L221+O221</f>
        <v>149083810.47</v>
      </c>
      <c r="K221" s="25">
        <f>K18+K69+K101+K130+K136+K150+K162+K184+K200+K212</f>
        <v>115662159.01000001</v>
      </c>
      <c r="L221" s="25">
        <f>L18+L69+L101+L130+L136+L150+L162+L184+L200+L212</f>
        <v>21346158</v>
      </c>
      <c r="M221" s="25">
        <f>M18+M69+M101+M130+M136+M150+M162+M184+M200+M212</f>
        <v>511100</v>
      </c>
      <c r="N221" s="25">
        <f>N18+N69+N101+N130+N136+N150+N162+N184+N200+N212</f>
        <v>0</v>
      </c>
      <c r="O221" s="25">
        <f>O18+O69+O101+O130+O136+O150+O162+O184+O200+O212</f>
        <v>127737652.47</v>
      </c>
      <c r="P221" s="25">
        <f t="shared" si="62"/>
        <v>1797641810.9600003</v>
      </c>
      <c r="Q221" s="12"/>
      <c r="S221" s="33"/>
    </row>
    <row r="222" spans="1:19" ht="9" customHeight="1">
      <c r="A222" s="13"/>
      <c r="B222" s="13"/>
      <c r="C222" s="13"/>
      <c r="D222" s="14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S222" s="33"/>
    </row>
    <row r="223" spans="1:19" s="18" customFormat="1" ht="18.75">
      <c r="A223" s="15"/>
      <c r="B223" s="15"/>
      <c r="C223" s="16" t="s">
        <v>295</v>
      </c>
      <c r="D223" s="17" t="s">
        <v>296</v>
      </c>
      <c r="E223" s="30">
        <f t="shared" ref="E223:O223" si="94">E20+E25+E26+E71+E72+E103+E104+E105+E132+E133+E138+E139+E152+E153+E164+E165+E186+E187+E188+E189+E202+E203+E204+E214</f>
        <v>183182236.64999998</v>
      </c>
      <c r="F223" s="30">
        <f t="shared" si="94"/>
        <v>182651739.51999998</v>
      </c>
      <c r="G223" s="30">
        <f t="shared" si="94"/>
        <v>164095300</v>
      </c>
      <c r="H223" s="30">
        <f t="shared" si="94"/>
        <v>6884851.3499999996</v>
      </c>
      <c r="I223" s="30">
        <f t="shared" si="94"/>
        <v>530497.13</v>
      </c>
      <c r="J223" s="30">
        <f t="shared" si="94"/>
        <v>120000</v>
      </c>
      <c r="K223" s="30">
        <f t="shared" si="94"/>
        <v>0</v>
      </c>
      <c r="L223" s="30">
        <f t="shared" si="94"/>
        <v>120000</v>
      </c>
      <c r="M223" s="30">
        <f t="shared" si="94"/>
        <v>0</v>
      </c>
      <c r="N223" s="30">
        <f t="shared" si="94"/>
        <v>0</v>
      </c>
      <c r="O223" s="30">
        <f t="shared" si="94"/>
        <v>0</v>
      </c>
      <c r="P223" s="30">
        <f>E223+J223</f>
        <v>183302236.64999998</v>
      </c>
      <c r="Q223" s="2"/>
      <c r="S223" s="33"/>
    </row>
    <row r="224" spans="1:19" s="18" customFormat="1" ht="18.75">
      <c r="A224" s="15"/>
      <c r="B224" s="15"/>
      <c r="C224" s="16" t="s">
        <v>297</v>
      </c>
      <c r="D224" s="17" t="s">
        <v>298</v>
      </c>
      <c r="E224" s="30">
        <f t="shared" ref="E224:O224" si="95">E73+E74+E75+E76+E80+E81+E82+E83+E84+E85+E86+E87+E88+E89+E90+E91+E92+E93+E94+E95+E140+E190</f>
        <v>635910111.94999993</v>
      </c>
      <c r="F224" s="30">
        <f t="shared" si="95"/>
        <v>631537596</v>
      </c>
      <c r="G224" s="30">
        <f t="shared" si="95"/>
        <v>469999720</v>
      </c>
      <c r="H224" s="30">
        <f t="shared" si="95"/>
        <v>42628764.949999988</v>
      </c>
      <c r="I224" s="30">
        <f t="shared" si="95"/>
        <v>4372515.95</v>
      </c>
      <c r="J224" s="30">
        <f t="shared" si="95"/>
        <v>89593190.5</v>
      </c>
      <c r="K224" s="30">
        <f t="shared" si="95"/>
        <v>69591216.5</v>
      </c>
      <c r="L224" s="30">
        <f t="shared" si="95"/>
        <v>19801974</v>
      </c>
      <c r="M224" s="30">
        <f t="shared" si="95"/>
        <v>499100</v>
      </c>
      <c r="N224" s="30">
        <f t="shared" si="95"/>
        <v>0</v>
      </c>
      <c r="O224" s="30">
        <f t="shared" si="95"/>
        <v>69791216.5</v>
      </c>
      <c r="P224" s="30">
        <f>E224+J224</f>
        <v>725503302.44999993</v>
      </c>
      <c r="S224" s="33"/>
    </row>
    <row r="225" spans="1:19" s="18" customFormat="1" ht="18.75">
      <c r="A225" s="15"/>
      <c r="B225" s="15"/>
      <c r="C225" s="16" t="s">
        <v>299</v>
      </c>
      <c r="D225" s="17" t="s">
        <v>300</v>
      </c>
      <c r="E225" s="30">
        <f t="shared" ref="E225:O225" si="96">E27+E28+E29+E30+E34+E191</f>
        <v>74552538.950000003</v>
      </c>
      <c r="F225" s="30">
        <f t="shared" si="96"/>
        <v>68850282.140000001</v>
      </c>
      <c r="G225" s="30">
        <f t="shared" si="96"/>
        <v>0</v>
      </c>
      <c r="H225" s="30">
        <f t="shared" si="96"/>
        <v>0</v>
      </c>
      <c r="I225" s="30">
        <f t="shared" si="96"/>
        <v>5702256.8100000005</v>
      </c>
      <c r="J225" s="30">
        <f t="shared" si="96"/>
        <v>7333054</v>
      </c>
      <c r="K225" s="30">
        <f t="shared" si="96"/>
        <v>7333054</v>
      </c>
      <c r="L225" s="30">
        <f t="shared" si="96"/>
        <v>0</v>
      </c>
      <c r="M225" s="30">
        <f t="shared" si="96"/>
        <v>0</v>
      </c>
      <c r="N225" s="30">
        <f t="shared" si="96"/>
        <v>0</v>
      </c>
      <c r="O225" s="30">
        <f t="shared" si="96"/>
        <v>7333054</v>
      </c>
      <c r="P225" s="30">
        <f t="shared" ref="P225:P233" si="97">E225+J225</f>
        <v>81885592.950000003</v>
      </c>
      <c r="S225" s="33"/>
    </row>
    <row r="226" spans="1:19" s="18" customFormat="1" ht="32.25">
      <c r="A226" s="15"/>
      <c r="B226" s="15"/>
      <c r="C226" s="16" t="s">
        <v>301</v>
      </c>
      <c r="D226" s="17" t="s">
        <v>302</v>
      </c>
      <c r="E226" s="30">
        <f t="shared" ref="E226:O226" si="98">E35+E96+E97+E106+E107+E108+E109+E110+E111+E112+E113+E114+E115+E116+E117+E118+E119+E120+E121+E122+E123+E134+E141+E142+E154</f>
        <v>135996294</v>
      </c>
      <c r="F226" s="30">
        <f t="shared" si="98"/>
        <v>118153272</v>
      </c>
      <c r="G226" s="30">
        <f t="shared" si="98"/>
        <v>36065920</v>
      </c>
      <c r="H226" s="30">
        <f t="shared" si="98"/>
        <v>306616.52</v>
      </c>
      <c r="I226" s="30">
        <f t="shared" si="98"/>
        <v>17843022</v>
      </c>
      <c r="J226" s="30">
        <f t="shared" si="98"/>
        <v>180000</v>
      </c>
      <c r="K226" s="30">
        <f t="shared" si="98"/>
        <v>0</v>
      </c>
      <c r="L226" s="30">
        <f t="shared" si="98"/>
        <v>55000</v>
      </c>
      <c r="M226" s="30">
        <f t="shared" si="98"/>
        <v>0</v>
      </c>
      <c r="N226" s="30">
        <f t="shared" si="98"/>
        <v>0</v>
      </c>
      <c r="O226" s="30">
        <f t="shared" si="98"/>
        <v>125000</v>
      </c>
      <c r="P226" s="30">
        <f t="shared" si="97"/>
        <v>136176294</v>
      </c>
      <c r="S226" s="33"/>
    </row>
    <row r="227" spans="1:19" s="18" customFormat="1" ht="18.75">
      <c r="A227" s="15"/>
      <c r="B227" s="15"/>
      <c r="C227" s="16" t="s">
        <v>303</v>
      </c>
      <c r="D227" s="17" t="s">
        <v>304</v>
      </c>
      <c r="E227" s="30">
        <f t="shared" ref="E227:O227" si="99">E143+E144+E145+E146+E147</f>
        <v>35347874</v>
      </c>
      <c r="F227" s="30">
        <f t="shared" si="99"/>
        <v>35101200</v>
      </c>
      <c r="G227" s="30">
        <f t="shared" si="99"/>
        <v>25053200</v>
      </c>
      <c r="H227" s="30">
        <f t="shared" si="99"/>
        <v>3115980</v>
      </c>
      <c r="I227" s="30">
        <f t="shared" si="99"/>
        <v>246674</v>
      </c>
      <c r="J227" s="30">
        <f t="shared" si="99"/>
        <v>310000</v>
      </c>
      <c r="K227" s="30">
        <f t="shared" si="99"/>
        <v>0</v>
      </c>
      <c r="L227" s="30">
        <f t="shared" si="99"/>
        <v>280000</v>
      </c>
      <c r="M227" s="30">
        <f t="shared" si="99"/>
        <v>12000</v>
      </c>
      <c r="N227" s="30">
        <f t="shared" si="99"/>
        <v>0</v>
      </c>
      <c r="O227" s="30">
        <f t="shared" si="99"/>
        <v>30000</v>
      </c>
      <c r="P227" s="30">
        <f t="shared" si="97"/>
        <v>35657874</v>
      </c>
      <c r="S227" s="33"/>
    </row>
    <row r="228" spans="1:19" s="18" customFormat="1" ht="18.75">
      <c r="A228" s="15"/>
      <c r="B228" s="15"/>
      <c r="C228" s="16" t="s">
        <v>305</v>
      </c>
      <c r="D228" s="17" t="s">
        <v>306</v>
      </c>
      <c r="E228" s="30">
        <f t="shared" ref="E228:O228" si="100">E98+E155+E156+E158+E157+E159</f>
        <v>29316336.699999999</v>
      </c>
      <c r="F228" s="30">
        <f t="shared" si="100"/>
        <v>20880486.699999999</v>
      </c>
      <c r="G228" s="30">
        <f t="shared" si="100"/>
        <v>11557200</v>
      </c>
      <c r="H228" s="30">
        <f t="shared" si="100"/>
        <v>834593.70000000007</v>
      </c>
      <c r="I228" s="30">
        <f t="shared" si="100"/>
        <v>8435850</v>
      </c>
      <c r="J228" s="30">
        <f t="shared" si="100"/>
        <v>0</v>
      </c>
      <c r="K228" s="30">
        <f t="shared" si="100"/>
        <v>0</v>
      </c>
      <c r="L228" s="30">
        <f t="shared" si="100"/>
        <v>0</v>
      </c>
      <c r="M228" s="30">
        <f t="shared" si="100"/>
        <v>0</v>
      </c>
      <c r="N228" s="30">
        <f t="shared" si="100"/>
        <v>0</v>
      </c>
      <c r="O228" s="30">
        <f t="shared" si="100"/>
        <v>0</v>
      </c>
      <c r="P228" s="30">
        <f t="shared" si="97"/>
        <v>29316336.699999999</v>
      </c>
      <c r="S228" s="33"/>
    </row>
    <row r="229" spans="1:19" s="18" customFormat="1" ht="18.75">
      <c r="A229" s="15"/>
      <c r="B229" s="15"/>
      <c r="C229" s="16" t="s">
        <v>307</v>
      </c>
      <c r="D229" s="17" t="s">
        <v>308</v>
      </c>
      <c r="E229" s="30">
        <f>E36+E166+E167+E171+E168+E169+E170+E172+E173+E192+E193+E194+E205+E206</f>
        <v>140040079.48000002</v>
      </c>
      <c r="F229" s="30">
        <f>F36+F166+F167+F171+F168+F169+F170+F172+F173+F192+F193+F194+F205+F206</f>
        <v>27416460</v>
      </c>
      <c r="G229" s="30">
        <f>G36+G166+G167+G171+G168+G169+G170+G172+G173+G192+G193+G194+G205+G206</f>
        <v>0</v>
      </c>
      <c r="H229" s="30">
        <f>H36+H166+H167+H171+H168+H169+H170+H172+H173+H192+H193+H194+H205+H206</f>
        <v>0</v>
      </c>
      <c r="I229" s="30">
        <f>I36+I166+I167+I171+I168+I169+I170+I172+I173+I192+I193+I194+I205+I206</f>
        <v>112623619.48</v>
      </c>
      <c r="J229" s="30">
        <f t="shared" ref="J229:O229" si="101">J36+J166+J167+J171+J168+J169+J170+J173+J192+J193+J194+J205+J206</f>
        <v>36328821.509999998</v>
      </c>
      <c r="K229" s="30">
        <f t="shared" si="101"/>
        <v>36328821.509999998</v>
      </c>
      <c r="L229" s="30">
        <f t="shared" si="101"/>
        <v>0</v>
      </c>
      <c r="M229" s="30">
        <f t="shared" si="101"/>
        <v>0</v>
      </c>
      <c r="N229" s="30">
        <f t="shared" si="101"/>
        <v>0</v>
      </c>
      <c r="O229" s="30">
        <f t="shared" si="101"/>
        <v>36328821.509999998</v>
      </c>
      <c r="P229" s="30">
        <f t="shared" si="97"/>
        <v>176368900.99000001</v>
      </c>
      <c r="S229" s="33"/>
    </row>
    <row r="230" spans="1:19" s="18" customFormat="1" ht="18.75">
      <c r="A230" s="15"/>
      <c r="B230" s="15"/>
      <c r="C230" s="16" t="s">
        <v>309</v>
      </c>
      <c r="D230" s="17" t="s">
        <v>310</v>
      </c>
      <c r="E230" s="30">
        <f t="shared" ref="E230:O230" si="102">E41+E42+E49+E50+E51+E52+E99+E124+E135+E148+E160+E161+E174+E175+E176+E177+E178+E195+E196+E197+E198+E207+E208+E209+E215</f>
        <v>179356061.56</v>
      </c>
      <c r="F230" s="30">
        <f t="shared" si="102"/>
        <v>40581965</v>
      </c>
      <c r="G230" s="30">
        <f t="shared" si="102"/>
        <v>0</v>
      </c>
      <c r="H230" s="30">
        <f t="shared" si="102"/>
        <v>0</v>
      </c>
      <c r="I230" s="30">
        <f t="shared" si="102"/>
        <v>138774096.56</v>
      </c>
      <c r="J230" s="30">
        <f t="shared" si="102"/>
        <v>12349560.460000001</v>
      </c>
      <c r="K230" s="30">
        <f t="shared" si="102"/>
        <v>729067</v>
      </c>
      <c r="L230" s="30">
        <f t="shared" si="102"/>
        <v>0</v>
      </c>
      <c r="M230" s="30">
        <f t="shared" si="102"/>
        <v>0</v>
      </c>
      <c r="N230" s="30">
        <f t="shared" si="102"/>
        <v>0</v>
      </c>
      <c r="O230" s="30">
        <f t="shared" si="102"/>
        <v>12349560.460000001</v>
      </c>
      <c r="P230" s="30">
        <f t="shared" si="97"/>
        <v>191705622.02000001</v>
      </c>
      <c r="S230" s="33"/>
    </row>
    <row r="231" spans="1:19" s="19" customFormat="1" ht="18.75">
      <c r="A231" s="15"/>
      <c r="B231" s="15"/>
      <c r="C231" s="16" t="s">
        <v>311</v>
      </c>
      <c r="D231" s="17" t="s">
        <v>312</v>
      </c>
      <c r="E231" s="30">
        <f t="shared" ref="E231:O231" si="103">E53+E61+E62+E63+E64+E65+E66+E67+E68+E100+E128+E149+E179+E180+E181+E182+E183+E199+E210+E211+E216</f>
        <v>75108255.200000003</v>
      </c>
      <c r="F231" s="30">
        <f t="shared" si="103"/>
        <v>52026875.200000003</v>
      </c>
      <c r="G231" s="30">
        <f t="shared" si="103"/>
        <v>27286800</v>
      </c>
      <c r="H231" s="30">
        <f t="shared" si="103"/>
        <v>65500</v>
      </c>
      <c r="I231" s="30">
        <f t="shared" si="103"/>
        <v>18084825</v>
      </c>
      <c r="J231" s="30">
        <f t="shared" si="103"/>
        <v>1189184</v>
      </c>
      <c r="K231" s="30">
        <f t="shared" si="103"/>
        <v>0</v>
      </c>
      <c r="L231" s="30">
        <f t="shared" si="103"/>
        <v>1089184</v>
      </c>
      <c r="M231" s="30">
        <f t="shared" si="103"/>
        <v>0</v>
      </c>
      <c r="N231" s="30">
        <f t="shared" si="103"/>
        <v>0</v>
      </c>
      <c r="O231" s="30">
        <f t="shared" si="103"/>
        <v>100000</v>
      </c>
      <c r="P231" s="30">
        <f t="shared" si="97"/>
        <v>76297439.200000003</v>
      </c>
      <c r="Q231" s="18"/>
      <c r="S231" s="33"/>
    </row>
    <row r="232" spans="1:19" s="12" customFormat="1" ht="18.75">
      <c r="A232" s="15"/>
      <c r="B232" s="15"/>
      <c r="C232" s="16" t="s">
        <v>313</v>
      </c>
      <c r="D232" s="17" t="s">
        <v>314</v>
      </c>
      <c r="E232" s="30">
        <f>E217+E218+E219+E220</f>
        <v>159748212</v>
      </c>
      <c r="F232" s="30">
        <f t="shared" ref="F232:O232" si="104">F217+F218+F219+F220</f>
        <v>125001712</v>
      </c>
      <c r="G232" s="30">
        <f t="shared" si="104"/>
        <v>0</v>
      </c>
      <c r="H232" s="30">
        <f t="shared" si="104"/>
        <v>0</v>
      </c>
      <c r="I232" s="30">
        <f t="shared" si="104"/>
        <v>34746500</v>
      </c>
      <c r="J232" s="30">
        <f t="shared" si="104"/>
        <v>1680000</v>
      </c>
      <c r="K232" s="30">
        <f t="shared" si="104"/>
        <v>1680000</v>
      </c>
      <c r="L232" s="30">
        <f t="shared" si="104"/>
        <v>0</v>
      </c>
      <c r="M232" s="30">
        <f t="shared" si="104"/>
        <v>0</v>
      </c>
      <c r="N232" s="30">
        <f t="shared" si="104"/>
        <v>0</v>
      </c>
      <c r="O232" s="30">
        <f t="shared" si="104"/>
        <v>1680000</v>
      </c>
      <c r="P232" s="30">
        <f t="shared" si="97"/>
        <v>161428212</v>
      </c>
      <c r="Q232" s="19"/>
      <c r="S232" s="33"/>
    </row>
    <row r="233" spans="1:19" s="12" customFormat="1">
      <c r="A233" s="20"/>
      <c r="B233" s="20"/>
      <c r="C233" s="20"/>
      <c r="D233" s="20" t="s">
        <v>16</v>
      </c>
      <c r="E233" s="31">
        <f>SUM(E223:E232)</f>
        <v>1648558000.49</v>
      </c>
      <c r="F233" s="31">
        <f>SUM(F223:F232)</f>
        <v>1302201588.5600002</v>
      </c>
      <c r="G233" s="31">
        <f>SUM(G223:G232)</f>
        <v>734058140</v>
      </c>
      <c r="H233" s="31">
        <f t="shared" ref="H233:O233" si="105">SUM(H223:H232)</f>
        <v>53836306.519999996</v>
      </c>
      <c r="I233" s="31">
        <f t="shared" si="105"/>
        <v>341359856.93000001</v>
      </c>
      <c r="J233" s="31">
        <f t="shared" si="105"/>
        <v>149083810.47</v>
      </c>
      <c r="K233" s="31">
        <f>SUM(K223:K232)</f>
        <v>115662159.00999999</v>
      </c>
      <c r="L233" s="31">
        <f t="shared" si="105"/>
        <v>21346158</v>
      </c>
      <c r="M233" s="31">
        <f t="shared" si="105"/>
        <v>511100</v>
      </c>
      <c r="N233" s="31">
        <f t="shared" si="105"/>
        <v>0</v>
      </c>
      <c r="O233" s="31">
        <f t="shared" si="105"/>
        <v>127737652.47</v>
      </c>
      <c r="P233" s="31">
        <f t="shared" si="97"/>
        <v>1797641810.96</v>
      </c>
      <c r="S233" s="33"/>
    </row>
    <row r="234" spans="1:19" s="21" customFormat="1">
      <c r="E234" s="32">
        <f>E221-E233</f>
        <v>0</v>
      </c>
      <c r="F234" s="32">
        <f t="shared" ref="F234:P234" si="106">F221-F233</f>
        <v>0</v>
      </c>
      <c r="G234" s="32">
        <f t="shared" si="106"/>
        <v>0</v>
      </c>
      <c r="H234" s="32">
        <f t="shared" si="106"/>
        <v>0</v>
      </c>
      <c r="I234" s="32">
        <f t="shared" si="106"/>
        <v>0</v>
      </c>
      <c r="J234" s="32">
        <f t="shared" si="106"/>
        <v>0</v>
      </c>
      <c r="K234" s="32">
        <f t="shared" si="106"/>
        <v>0</v>
      </c>
      <c r="L234" s="32">
        <f t="shared" si="106"/>
        <v>0</v>
      </c>
      <c r="M234" s="32">
        <f t="shared" si="106"/>
        <v>0</v>
      </c>
      <c r="N234" s="32">
        <f t="shared" si="106"/>
        <v>0</v>
      </c>
      <c r="O234" s="32">
        <f t="shared" si="106"/>
        <v>0</v>
      </c>
      <c r="P234" s="32">
        <f t="shared" si="106"/>
        <v>0</v>
      </c>
    </row>
    <row r="235" spans="1:19">
      <c r="D235" s="2" t="s">
        <v>422</v>
      </c>
      <c r="J235" s="2" t="s">
        <v>423</v>
      </c>
    </row>
    <row r="237" spans="1:19"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</row>
    <row r="238" spans="1:19"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</row>
    <row r="239" spans="1:19"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</row>
    <row r="240" spans="1:19"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</row>
    <row r="241" spans="5:16"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</row>
    <row r="242" spans="5:16"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</row>
  </sheetData>
  <mergeCells count="22">
    <mergeCell ref="O14:O16"/>
    <mergeCell ref="G15:G16"/>
    <mergeCell ref="H15:H16"/>
    <mergeCell ref="M15:M16"/>
    <mergeCell ref="N15:N16"/>
    <mergeCell ref="L14:L16"/>
    <mergeCell ref="A9:P9"/>
    <mergeCell ref="A10:P10"/>
    <mergeCell ref="A13:A16"/>
    <mergeCell ref="B13:B16"/>
    <mergeCell ref="C13:C16"/>
    <mergeCell ref="D13:D16"/>
    <mergeCell ref="E13:I13"/>
    <mergeCell ref="J13:O13"/>
    <mergeCell ref="P13:P16"/>
    <mergeCell ref="E14:E16"/>
    <mergeCell ref="F14:F16"/>
    <mergeCell ref="G14:H14"/>
    <mergeCell ref="I14:I16"/>
    <mergeCell ref="J14:J16"/>
    <mergeCell ref="K14:K16"/>
    <mergeCell ref="M14:N14"/>
  </mergeCells>
  <pageMargins left="0.19685039370078741" right="0.19685039370078741" top="0.39370078740157483" bottom="0.39370078740157483" header="0" footer="0"/>
  <pageSetup paperSize="9" scale="41" fitToWidth="11" fitToHeight="11" orientation="landscape" r:id="rId1"/>
  <headerFooter differentFirst="1">
    <oddHeader>&amp;C&amp;P</oddHeader>
  </headerFooter>
  <rowBreaks count="1" manualBreakCount="1">
    <brk id="20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220FU5</dc:creator>
  <cp:lastModifiedBy>Lilya-PC</cp:lastModifiedBy>
  <cp:lastPrinted>2026-09-29T12:35:12Z</cp:lastPrinted>
  <dcterms:created xsi:type="dcterms:W3CDTF">2023-12-16T13:37:11Z</dcterms:created>
  <dcterms:modified xsi:type="dcterms:W3CDTF">2026-10-14T05:53:27Z</dcterms:modified>
</cp:coreProperties>
</file>