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зі змінами грудень" sheetId="11" r:id="rId1"/>
  </sheets>
  <definedNames>
    <definedName name="_xlnm.Print_Titles" localSheetId="0">'зі змінами грудень'!$17:$19</definedName>
    <definedName name="_xlnm.Print_Area" localSheetId="0">'зі змінами грудень'!$A$1:$J$155</definedName>
  </definedNames>
  <calcPr calcId="152511"/>
</workbook>
</file>

<file path=xl/calcChain.xml><?xml version="1.0" encoding="utf-8"?>
<calcChain xmlns="http://schemas.openxmlformats.org/spreadsheetml/2006/main">
  <c r="H152" i="11" l="1"/>
  <c r="I152" i="11"/>
  <c r="J152" i="11"/>
  <c r="G152" i="11"/>
  <c r="G131" i="11" l="1"/>
  <c r="G158" i="11"/>
  <c r="J101" i="11"/>
  <c r="I101" i="11"/>
  <c r="H101" i="11"/>
  <c r="H158" i="11" l="1"/>
  <c r="H126" i="11"/>
  <c r="H85" i="11"/>
  <c r="I85" i="11"/>
  <c r="J85" i="11"/>
  <c r="G102" i="11"/>
  <c r="H142" i="11"/>
  <c r="H93" i="11"/>
  <c r="J93" i="11"/>
  <c r="I93" i="11"/>
  <c r="H88" i="11"/>
  <c r="I142" i="11"/>
  <c r="I158" i="11" s="1"/>
  <c r="J142" i="11"/>
  <c r="J158" i="11" s="1"/>
  <c r="H53" i="11"/>
  <c r="G68" i="11"/>
  <c r="H51" i="11"/>
  <c r="H26" i="11"/>
  <c r="H22" i="11"/>
  <c r="H134" i="11" l="1"/>
  <c r="I134" i="11"/>
  <c r="J134" i="11"/>
  <c r="I137" i="11"/>
  <c r="J137" i="11"/>
  <c r="G95" i="11"/>
  <c r="G91" i="11"/>
  <c r="G87" i="11"/>
  <c r="H30" i="11" l="1"/>
  <c r="H127" i="11" l="1"/>
  <c r="H117" i="11"/>
  <c r="G120" i="11"/>
  <c r="I103" i="11"/>
  <c r="G99" i="11"/>
  <c r="I99" i="11"/>
  <c r="H77" i="11"/>
  <c r="H76" i="11"/>
  <c r="J113" i="11" l="1"/>
  <c r="I113" i="11"/>
  <c r="H24" i="11"/>
  <c r="H133" i="11" l="1"/>
  <c r="I133" i="11"/>
  <c r="J133" i="11"/>
  <c r="J125" i="11"/>
  <c r="I125" i="11"/>
  <c r="H119" i="11"/>
  <c r="I35" i="11"/>
  <c r="H100" i="11"/>
  <c r="H92" i="11"/>
  <c r="I145" i="11" l="1"/>
  <c r="H105" i="11"/>
  <c r="G114" i="11"/>
  <c r="H118" i="11" l="1"/>
  <c r="J107" i="11"/>
  <c r="J105" i="11" s="1"/>
  <c r="I107" i="11"/>
  <c r="H86" i="11"/>
  <c r="H65" i="11"/>
  <c r="H64" i="11"/>
  <c r="H61" i="11"/>
  <c r="J33" i="11"/>
  <c r="I33" i="11"/>
  <c r="H153" i="11" l="1"/>
  <c r="I153" i="11"/>
  <c r="J153" i="11"/>
  <c r="G128" i="11"/>
  <c r="G153" i="11" s="1"/>
  <c r="J127" i="11"/>
  <c r="J123" i="11" s="1"/>
  <c r="I127" i="11"/>
  <c r="I123" i="11" s="1"/>
  <c r="H49" i="11" l="1"/>
  <c r="H48" i="11"/>
  <c r="H47" i="11"/>
  <c r="H124" i="11" l="1"/>
  <c r="H97" i="11" l="1"/>
  <c r="I149" i="11"/>
  <c r="J77" i="11"/>
  <c r="J70" i="11" s="1"/>
  <c r="I77" i="11"/>
  <c r="H149" i="11"/>
  <c r="H60" i="11"/>
  <c r="J40" i="11"/>
  <c r="I40" i="11"/>
  <c r="H40" i="11"/>
  <c r="G77" i="11" l="1"/>
  <c r="I70" i="11"/>
  <c r="H70" i="11"/>
  <c r="H33" i="11" l="1"/>
  <c r="H31" i="11" l="1"/>
  <c r="H67" i="11" l="1"/>
  <c r="H66" i="11"/>
  <c r="I106" i="11"/>
  <c r="I105" i="11" s="1"/>
  <c r="I37" i="11"/>
  <c r="J37" i="11"/>
  <c r="G51" i="11"/>
  <c r="G64" i="11" l="1"/>
  <c r="G113" i="11" l="1"/>
  <c r="H37" i="11" l="1"/>
  <c r="I21" i="11"/>
  <c r="G127" i="11" l="1"/>
  <c r="H148" i="11" l="1"/>
  <c r="H123" i="11"/>
  <c r="G100" i="11" l="1"/>
  <c r="G121" i="11" l="1"/>
  <c r="H34" i="11"/>
  <c r="G126" i="11" l="1"/>
  <c r="J21" i="11"/>
  <c r="G30" i="11"/>
  <c r="G33" i="11"/>
  <c r="H32" i="11"/>
  <c r="H135" i="11" s="1"/>
  <c r="G101" i="11" l="1"/>
  <c r="G85" i="11" s="1"/>
  <c r="G45" i="11"/>
  <c r="G142" i="11" l="1"/>
  <c r="G23" i="11"/>
  <c r="H25" i="11" l="1"/>
  <c r="H21" i="11" l="1"/>
  <c r="H151" i="11"/>
  <c r="H147" i="11" l="1"/>
  <c r="G42" i="11"/>
  <c r="G147" i="11" s="1"/>
  <c r="G34" i="11" l="1"/>
  <c r="H144" i="11" l="1"/>
  <c r="I144" i="11"/>
  <c r="J144" i="11"/>
  <c r="H146" i="11"/>
  <c r="H141" i="11"/>
  <c r="I141" i="11"/>
  <c r="J141" i="11"/>
  <c r="I140" i="11"/>
  <c r="J140" i="11"/>
  <c r="H136" i="11"/>
  <c r="I136" i="11"/>
  <c r="J136" i="11"/>
  <c r="H131" i="11"/>
  <c r="I131" i="11"/>
  <c r="J131" i="11"/>
  <c r="H122" i="11"/>
  <c r="I122" i="11"/>
  <c r="J122" i="11"/>
  <c r="G125" i="11"/>
  <c r="G124" i="11"/>
  <c r="G119" i="11"/>
  <c r="G148" i="11" s="1"/>
  <c r="G123" i="11" l="1"/>
  <c r="G122" i="11" s="1"/>
  <c r="G146" i="11"/>
  <c r="G111" i="11" l="1"/>
  <c r="G144" i="11" s="1"/>
  <c r="G115" i="11"/>
  <c r="G112" i="11"/>
  <c r="G107" i="11"/>
  <c r="G108" i="11"/>
  <c r="G109" i="11"/>
  <c r="G110" i="11"/>
  <c r="G106" i="11"/>
  <c r="G98" i="11"/>
  <c r="G137" i="11" s="1"/>
  <c r="G96" i="11"/>
  <c r="G105" i="11" l="1"/>
  <c r="G89" i="11"/>
  <c r="G86" i="11"/>
  <c r="H58" i="11"/>
  <c r="H139" i="11" l="1"/>
  <c r="J36" i="11"/>
  <c r="I36" i="11"/>
  <c r="J20" i="11" l="1"/>
  <c r="H143" i="11"/>
  <c r="I143" i="11"/>
  <c r="J143" i="11"/>
  <c r="G31" i="11"/>
  <c r="G143" i="11" s="1"/>
  <c r="G25" i="11" l="1"/>
  <c r="H140" i="11"/>
  <c r="H150" i="11" l="1"/>
  <c r="G76" i="11" l="1"/>
  <c r="G75" i="11"/>
  <c r="G74" i="11"/>
  <c r="G73" i="11"/>
  <c r="G72" i="11"/>
  <c r="G71" i="11"/>
  <c r="H69" i="11"/>
  <c r="I69" i="11"/>
  <c r="J69" i="11"/>
  <c r="G149" i="11" l="1"/>
  <c r="G70" i="11"/>
  <c r="G69" i="11" s="1"/>
  <c r="H138" i="11"/>
  <c r="H132" i="11"/>
  <c r="H36" i="11"/>
  <c r="G50" i="11"/>
  <c r="G49" i="11"/>
  <c r="G48" i="11"/>
  <c r="G46" i="11"/>
  <c r="G44" i="11"/>
  <c r="G41" i="11"/>
  <c r="G40" i="11"/>
  <c r="G39" i="11"/>
  <c r="G38" i="11"/>
  <c r="G132" i="11" l="1"/>
  <c r="G60" i="11"/>
  <c r="H130" i="11" l="1"/>
  <c r="G59" i="11" l="1"/>
  <c r="H84" i="11"/>
  <c r="I84" i="11"/>
  <c r="J84" i="11"/>
  <c r="G103" i="11"/>
  <c r="G94" i="11"/>
  <c r="G92" i="11"/>
  <c r="G90" i="11"/>
  <c r="G136" i="11" s="1"/>
  <c r="G88" i="11"/>
  <c r="H79" i="11"/>
  <c r="H78" i="11" s="1"/>
  <c r="G82" i="11"/>
  <c r="G83" i="11"/>
  <c r="G81" i="11"/>
  <c r="G80" i="11"/>
  <c r="G67" i="11"/>
  <c r="G66" i="11"/>
  <c r="G63" i="11"/>
  <c r="G62" i="11"/>
  <c r="G61" i="11"/>
  <c r="G58" i="11"/>
  <c r="G57" i="11"/>
  <c r="G56" i="11"/>
  <c r="G55" i="11"/>
  <c r="G54" i="11"/>
  <c r="I20" i="11"/>
  <c r="H20" i="11"/>
  <c r="G53" i="11" l="1"/>
  <c r="G150" i="11"/>
  <c r="I104" i="11"/>
  <c r="I129" i="11" s="1"/>
  <c r="I160" i="11" s="1"/>
  <c r="G138" i="11"/>
  <c r="G79" i="11"/>
  <c r="G78" i="11" s="1"/>
  <c r="G65" i="11"/>
  <c r="H52" i="11"/>
  <c r="G35" i="11"/>
  <c r="G145" i="11" s="1"/>
  <c r="G32" i="11"/>
  <c r="G135" i="11" s="1"/>
  <c r="G29" i="11"/>
  <c r="G134" i="11" s="1"/>
  <c r="G28" i="11"/>
  <c r="G27" i="11"/>
  <c r="G26" i="11"/>
  <c r="G24" i="11"/>
  <c r="G22" i="11"/>
  <c r="G52" i="11" l="1"/>
  <c r="G139" i="11"/>
  <c r="G21" i="11"/>
  <c r="G20" i="11" s="1"/>
  <c r="G140" i="11"/>
  <c r="J104" i="11"/>
  <c r="J129" i="11" s="1"/>
  <c r="J160" i="11" s="1"/>
  <c r="G43" i="11" l="1"/>
  <c r="G141" i="11" l="1"/>
  <c r="G97" i="11"/>
  <c r="G118" i="11" l="1"/>
  <c r="G117" i="11" s="1"/>
  <c r="H116" i="11"/>
  <c r="G47" i="11"/>
  <c r="G37" i="11" s="1"/>
  <c r="G130" i="11" l="1"/>
  <c r="G151" i="11"/>
  <c r="G116" i="11"/>
  <c r="H104" i="11"/>
  <c r="H129" i="11" s="1"/>
  <c r="H160" i="11" s="1"/>
  <c r="G93" i="11"/>
  <c r="G84" i="11" l="1"/>
  <c r="G133" i="11"/>
  <c r="G36" i="11"/>
  <c r="G104" i="11" l="1"/>
  <c r="G129" i="11" s="1"/>
  <c r="G160" i="11" s="1"/>
</calcChain>
</file>

<file path=xl/sharedStrings.xml><?xml version="1.0" encoding="utf-8"?>
<sst xmlns="http://schemas.openxmlformats.org/spreadsheetml/2006/main" count="600" uniqueCount="293">
  <si>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</si>
  <si>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</si>
  <si>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</si>
  <si>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</si>
  <si>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</si>
  <si>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</si>
  <si>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</si>
  <si>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</si>
  <si>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</si>
  <si>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</si>
  <si>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</si>
  <si>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</si>
  <si>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</si>
  <si>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</si>
  <si>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</si>
  <si>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</si>
  <si>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</si>
  <si>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</si>
  <si>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</si>
  <si>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</si>
  <si>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</si>
  <si>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</si>
  <si>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</si>
  <si>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</si>
  <si>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</si>
  <si>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</si>
  <si>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</si>
  <si>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</si>
  <si>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</si>
  <si>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</si>
  <si>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</si>
  <si>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</si>
  <si>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</si>
  <si>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</si>
  <si>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</si>
  <si>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</si>
  <si>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</si>
  <si>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</si>
  <si>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</si>
  <si>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</si>
  <si>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</si>
  <si>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</si>
  <si>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</si>
  <si>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</si>
  <si>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</si>
  <si>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</si>
  <si>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</si>
  <si>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</si>
  <si>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</si>
  <si>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</si>
  <si>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</si>
  <si>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</si>
  <si>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</si>
  <si>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</si>
  <si>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</si>
  <si>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</si>
  <si>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</si>
  <si>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</si>
  <si>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</si>
  <si>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</si>
  <si>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</si>
  <si>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</si>
  <si>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</si>
  <si>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</si>
  <si>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</si>
  <si>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</si>
  <si>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16.02.2018 р.  
№ 306-VII</t>
  </si>
  <si>
    <t>01.03.2019 р.  
№ 404-VII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</si>
  <si>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</si>
  <si>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</si>
  <si>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</si>
  <si>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</si>
  <si>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</si>
  <si>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</si>
  <si>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</si>
  <si>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</si>
  <si>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</si>
  <si>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</si>
  <si>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</si>
  <si>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</si>
  <si>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</si>
  <si>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</si>
  <si>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</si>
  <si>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</si>
  <si>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</si>
  <si>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</si>
  <si>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</si>
  <si>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</si>
  <si>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</si>
  <si>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</si>
  <si>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</si>
  <si>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</si>
  <si>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</si>
  <si>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</si>
  <si>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</si>
  <si>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</si>
  <si>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</si>
  <si>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</si>
  <si>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</si>
  <si>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</si>
  <si>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</si>
  <si>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</si>
  <si>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</si>
  <si>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</si>
  <si>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</si>
  <si>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</si>
  <si>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</si>
  <si>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</si>
  <si>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</si>
  <si>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</si>
  <si>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</si>
  <si>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</si>
  <si>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</si>
  <si>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</si>
  <si>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</si>
  <si>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</si>
  <si>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</si>
  <si>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</si>
  <si>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</si>
  <si>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</si>
  <si>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</si>
  <si>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</si>
  <si>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</si>
  <si>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</si>
  <si>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</si>
  <si>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</si>
  <si>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</si>
  <si>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</si>
  <si>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</si>
  <si>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</si>
  <si>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</si>
  <si>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</si>
  <si>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</si>
  <si>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Міська програма ″Здоров’я населення Чорноморської  міської територіальної громади на 2021 - 2025 роки</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</si>
  <si>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</si>
  <si>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</si>
  <si>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</si>
  <si>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</si>
  <si>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</si>
  <si>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</si>
  <si>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</si>
  <si>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</si>
  <si>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</si>
  <si>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</si>
  <si>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</si>
  <si>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</si>
  <si>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</si>
  <si>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</si>
  <si>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</si>
  <si>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</si>
  <si>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</si>
  <si>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</si>
  <si>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</si>
  <si>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</si>
  <si>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</si>
  <si>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</si>
  <si>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</si>
  <si>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</si>
  <si>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</si>
  <si>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</si>
  <si>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</si>
  <si>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</si>
  <si>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</si>
  <si>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</si>
  <si>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</si>
  <si>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</si>
  <si>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</si>
  <si>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</si>
  <si>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</si>
  <si>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</si>
  <si>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</si>
  <si>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</si>
  <si>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</si>
  <si>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</si>
  <si>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</si>
  <si>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</si>
  <si>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</si>
  <si>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</si>
  <si>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</si>
  <si>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</si>
  <si>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</si>
  <si>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</si>
  <si>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</si>
  <si>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</si>
  <si>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</si>
  <si>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</si>
  <si>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</si>
  <si>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</si>
  <si>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</si>
  <si>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</si>
  <si>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</si>
  <si>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</si>
  <si>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</si>
  <si>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</si>
  <si>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</si>
  <si>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</si>
  <si>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</si>
  <si>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</si>
  <si>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</si>
  <si>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</si>
  <si>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</si>
  <si>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</si>
  <si>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</si>
  <si>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0218220</t>
  </si>
  <si>
    <t>Заходи та роботи з мобілізаційної підготовки місцевого значення</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</si>
  <si>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</si>
  <si>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</si>
  <si>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</si>
  <si>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</si>
  <si>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</si>
  <si>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</si>
  <si>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</si>
  <si>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</si>
  <si>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</si>
  <si>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</si>
  <si>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</si>
  <si>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</si>
  <si>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</si>
  <si>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</si>
  <si>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</si>
  <si>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</si>
  <si>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</si>
  <si>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</si>
  <si>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</si>
  <si>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</si>
  <si>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</si>
  <si>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</si>
  <si>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</si>
  <si>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</si>
  <si>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</si>
  <si>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</si>
  <si>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</si>
  <si>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</si>
  <si>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</si>
  <si>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</si>
  <si>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</si>
  <si>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</si>
  <si>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</si>
  <si>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</si>
  <si>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</si>
  <si>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0611141</t>
  </si>
  <si>
    <t>1141</t>
  </si>
  <si>
    <t>Забезпечення діяльності інших закладів у сфері освіти</t>
  </si>
  <si>
    <t>0218110</t>
  </si>
  <si>
    <t>0320</t>
  </si>
  <si>
    <t>Заходи із запобігання та ліквідації надзвичайних ситуацій та наслідків стихійного лиха</t>
  </si>
  <si>
    <t>3118240</t>
  </si>
  <si>
    <t>0813230</t>
  </si>
  <si>
    <t>3230</t>
  </si>
  <si>
    <t>Видатки, пов'язані з наданням підтримки внутрішньо переміщеним та/або евакуйованим особам у зв'язку із введенням воєнного стану</t>
  </si>
  <si>
    <t>Міська цільова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</si>
  <si>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0618110</t>
  </si>
  <si>
    <t>Міська цільова соціальна програма розвитку цивільного захисту Чорноморської міської територіальної громади на 2021 - 2025 роки</t>
  </si>
  <si>
    <t>30.03.2021 р.
№ 31-VІII
(зі змінами)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</si>
  <si>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</si>
  <si>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</si>
  <si>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</si>
  <si>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01.03.2022р. 
№ 195-VIII
(зі змінами)</t>
  </si>
  <si>
    <t>04.02.2022р. 
№ 173-VIII
(зі змінами)</t>
  </si>
  <si>
    <t>04.02.2022р. 
№ 164-VIII
(зі змінами)</t>
  </si>
  <si>
    <t>24.12.2020р.
№ 17-VIII (зі змінами)</t>
  </si>
  <si>
    <t>24.12.2020р.
№ 17-VIII 
(зі змінами)</t>
  </si>
  <si>
    <t>24.12.2020р.
№ 16-VIII 
(зі змінами)</t>
  </si>
  <si>
    <t>24.12.2020р.
№ 16-VIII  
(зі змінами)</t>
  </si>
  <si>
    <t>01.03.2019 р.
№ 404-VII</t>
  </si>
  <si>
    <t>30.03.2021р. 
№ 27-VIII 
(зі змінами)</t>
  </si>
  <si>
    <t>09.04.2019 р.  
№ 416-VII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</si>
  <si>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</si>
  <si>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</si>
  <si>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</si>
  <si>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</si>
  <si>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</si>
  <si>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12.04.2021 
№ 55-VІII 
(зі змінами)</t>
  </si>
  <si>
    <t>09.01.2006р. 
№ 511-IV
(зі змінами)</t>
  </si>
  <si>
    <t>12.09.2019 р. 
№ 485-VII 
(зі змінами)</t>
  </si>
  <si>
    <t xml:space="preserve"> 24.12.2020р.
№ 15-VIII 
(зі змінами)</t>
  </si>
  <si>
    <t>30.03.2021 р.
  № 31-VІII
(зі змінами)</t>
  </si>
  <si>
    <t>1018110</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</si>
  <si>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</si>
  <si>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</si>
  <si>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0511</t>
  </si>
  <si>
    <t>Охорона та раціональне використання природних ресурсів</t>
  </si>
  <si>
    <t>Начальник фінансового управління</t>
  </si>
  <si>
    <t>Ольга ЯКОВЕНКО</t>
  </si>
  <si>
    <t>12.09.2022р. 
№ 226</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</si>
  <si>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t>
  </si>
  <si>
    <t>20.12.2019 року 
№ 521-VII</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</si>
  <si>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</si>
  <si>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3118110</t>
  </si>
  <si>
    <t>8110</t>
  </si>
  <si>
    <t>Додаток 6</t>
  </si>
  <si>
    <t>від    12.2022 №     - VIII</t>
  </si>
  <si>
    <t>0818110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</si>
</sst>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0">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center" vertical="center" wrapText="1"/>
    </xf>
    <xf numFmtId="3" fontId="2" fillId="2" borderId="0" xfId="0" applyNumberFormat="1" applyFont="1" applyFill="1"/>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4" fillId="2" borderId="1" xfId="1" applyFont="1" applyFill="1" applyBorder="1" applyAlignment="1">
      <alignment horizontal="left" vertical="center" wrapText="1"/>
    </xf>
    <xf numFmtId="0" fontId="2" fillId="2" borderId="0" xfId="0" applyFont="1" applyFill="1" applyAlignment="1">
      <alignment horizontal="left" vertical="center"/>
    </xf>
    <xf numFmtId="3" fontId="2" fillId="2" borderId="0" xfId="0" applyNumberFormat="1" applyFont="1" applyFill="1" applyAlignment="1">
      <alignment horizontal="center"/>
    </xf>
    <xf numFmtId="0" fontId="2" fillId="2" borderId="3" xfId="0" applyFont="1" applyFill="1" applyBorder="1" applyAlignment="1">
      <alignment horizontal="left" vertical="center" wrapText="1"/>
    </xf>
    <xf numFmtId="4" fontId="2" fillId="2" borderId="1" xfId="0" applyNumberFormat="1" applyFont="1" applyFill="1" applyBorder="1" applyAlignment="1">
      <alignment horizontal="center" vertical="center"/>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0" fontId="4" fillId="2" borderId="1" xfId="0" quotePrefix="1" applyFont="1" applyFill="1" applyBorder="1" applyAlignment="1">
      <alignmen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3"/>
  <sheetViews>
    <sheetView tabSelected="1" view="pageBreakPreview" zoomScale="58" zoomScaleNormal="60" zoomScaleSheetLayoutView="58" workbookViewId="0">
      <selection activeCell="G153" sqref="G153"/>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6" t="s">
        <v>290</v>
      </c>
      <c r="I1" s="86"/>
      <c r="J1" s="86"/>
    </row>
    <row r="2" spans="1:10" ht="15.6" x14ac:dyDescent="0.3">
      <c r="H2" s="86" t="s">
        <v>74</v>
      </c>
      <c r="I2" s="86"/>
      <c r="J2" s="86"/>
    </row>
    <row r="3" spans="1:10" ht="15.6" x14ac:dyDescent="0.3">
      <c r="H3" s="86" t="s">
        <v>75</v>
      </c>
      <c r="I3" s="86"/>
      <c r="J3" s="86"/>
    </row>
    <row r="4" spans="1:10" ht="15.6" x14ac:dyDescent="0.3">
      <c r="H4" s="68" t="s">
        <v>76</v>
      </c>
      <c r="I4" s="68"/>
      <c r="J4" s="68"/>
    </row>
    <row r="5" spans="1:10" ht="15.6" x14ac:dyDescent="0.3">
      <c r="H5" s="87" t="s">
        <v>291</v>
      </c>
      <c r="I5" s="87"/>
      <c r="J5" s="87"/>
    </row>
    <row r="6" spans="1:10" ht="15.6" x14ac:dyDescent="0.3">
      <c r="H6" s="59"/>
      <c r="I6" s="59"/>
      <c r="J6" s="59"/>
    </row>
    <row r="7" spans="1:10" ht="15.6" x14ac:dyDescent="0.3">
      <c r="H7" s="86" t="s">
        <v>198</v>
      </c>
      <c r="I7" s="86"/>
      <c r="J7" s="86"/>
    </row>
    <row r="8" spans="1:10" ht="15.6" x14ac:dyDescent="0.3">
      <c r="H8" s="86" t="s">
        <v>74</v>
      </c>
      <c r="I8" s="86"/>
      <c r="J8" s="86"/>
    </row>
    <row r="9" spans="1:10" ht="19.5" customHeight="1" x14ac:dyDescent="0.3">
      <c r="H9" s="86" t="s">
        <v>75</v>
      </c>
      <c r="I9" s="86"/>
      <c r="J9" s="86"/>
    </row>
    <row r="10" spans="1:10" ht="15.6" x14ac:dyDescent="0.3">
      <c r="H10" s="86" t="s">
        <v>76</v>
      </c>
      <c r="I10" s="86"/>
      <c r="J10" s="86"/>
    </row>
    <row r="11" spans="1:10" ht="15.6" x14ac:dyDescent="0.3">
      <c r="A11" s="29"/>
      <c r="B11" s="29"/>
      <c r="C11" s="29"/>
      <c r="D11" s="29"/>
      <c r="E11" s="5"/>
      <c r="F11" s="4"/>
      <c r="G11" s="6"/>
      <c r="H11" s="87" t="s">
        <v>199</v>
      </c>
      <c r="I11" s="87"/>
      <c r="J11" s="87"/>
    </row>
    <row r="12" spans="1:10" ht="15.6" x14ac:dyDescent="0.3">
      <c r="A12" s="30"/>
      <c r="B12" s="30"/>
      <c r="C12" s="30"/>
      <c r="D12" s="30"/>
      <c r="E12" s="5"/>
      <c r="F12" s="4"/>
      <c r="G12" s="6"/>
      <c r="H12" s="89"/>
      <c r="I12" s="89"/>
      <c r="J12" s="89"/>
    </row>
    <row r="13" spans="1:10" ht="15.6" x14ac:dyDescent="0.3">
      <c r="A13" s="88" t="s">
        <v>166</v>
      </c>
      <c r="B13" s="88"/>
      <c r="C13" s="88"/>
      <c r="D13" s="88"/>
      <c r="E13" s="88"/>
      <c r="F13" s="88"/>
      <c r="G13" s="88"/>
      <c r="H13" s="88"/>
      <c r="I13" s="88"/>
      <c r="J13" s="88"/>
    </row>
    <row r="14" spans="1:10" ht="18" x14ac:dyDescent="0.35">
      <c r="A14" s="84">
        <v>15589000000</v>
      </c>
      <c r="B14" s="84"/>
      <c r="C14" s="19"/>
      <c r="D14" s="7"/>
      <c r="E14" s="8"/>
      <c r="F14" s="17"/>
      <c r="G14" s="17"/>
      <c r="H14" s="17"/>
      <c r="I14" s="17"/>
      <c r="J14" s="17"/>
    </row>
    <row r="15" spans="1:10" x14ac:dyDescent="0.3">
      <c r="A15" s="20" t="s">
        <v>57</v>
      </c>
      <c r="B15" s="20"/>
      <c r="C15" s="20"/>
      <c r="D15" s="10"/>
      <c r="E15" s="11"/>
      <c r="F15" s="9"/>
      <c r="G15" s="9"/>
      <c r="H15" s="9"/>
      <c r="I15" s="9"/>
      <c r="J15" s="9"/>
    </row>
    <row r="16" spans="1:10" x14ac:dyDescent="0.3">
      <c r="A16" s="21"/>
      <c r="B16" s="16"/>
      <c r="C16" s="16"/>
      <c r="D16" s="12"/>
      <c r="E16" s="13"/>
      <c r="F16" s="12"/>
      <c r="G16" s="14"/>
      <c r="H16" s="14"/>
      <c r="I16" s="14"/>
      <c r="J16" s="15" t="s">
        <v>58</v>
      </c>
    </row>
    <row r="17" spans="1:10" x14ac:dyDescent="0.3">
      <c r="A17" s="85" t="s">
        <v>60</v>
      </c>
      <c r="B17" s="85" t="s">
        <v>61</v>
      </c>
      <c r="C17" s="85" t="s">
        <v>9</v>
      </c>
      <c r="D17" s="80" t="s">
        <v>63</v>
      </c>
      <c r="E17" s="82" t="s">
        <v>62</v>
      </c>
      <c r="F17" s="80" t="s">
        <v>64</v>
      </c>
      <c r="G17" s="81" t="s">
        <v>0</v>
      </c>
      <c r="H17" s="81" t="s">
        <v>1</v>
      </c>
      <c r="I17" s="81" t="s">
        <v>2</v>
      </c>
      <c r="J17" s="81"/>
    </row>
    <row r="18" spans="1:10" ht="63" customHeight="1" x14ac:dyDescent="0.3">
      <c r="A18" s="85"/>
      <c r="B18" s="85"/>
      <c r="C18" s="85"/>
      <c r="D18" s="80"/>
      <c r="E18" s="83"/>
      <c r="F18" s="80"/>
      <c r="G18" s="81"/>
      <c r="H18" s="81"/>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191</v>
      </c>
      <c r="E20" s="40"/>
      <c r="F20" s="26"/>
      <c r="G20" s="27">
        <f>G21</f>
        <v>69034894</v>
      </c>
      <c r="H20" s="27">
        <f>H21</f>
        <v>67901394</v>
      </c>
      <c r="I20" s="27">
        <f>I21</f>
        <v>1133500</v>
      </c>
      <c r="J20" s="27">
        <f>J21</f>
        <v>828000</v>
      </c>
    </row>
    <row r="21" spans="1:10" s="3" customFormat="1" ht="31.2" x14ac:dyDescent="0.3">
      <c r="A21" s="41" t="s">
        <v>11</v>
      </c>
      <c r="B21" s="41"/>
      <c r="C21" s="41"/>
      <c r="D21" s="39" t="s">
        <v>191</v>
      </c>
      <c r="E21" s="40"/>
      <c r="F21" s="26"/>
      <c r="G21" s="27">
        <f>G22+G23+G24+G25+G26+G27+G28+G29+G30+G31+G32+G33+G34+G35</f>
        <v>69034894</v>
      </c>
      <c r="H21" s="27">
        <f>H22+H23+H24+H25+H26+H27+H28+H29+H30+H31+H32+H33+H34+H35</f>
        <v>67901394</v>
      </c>
      <c r="I21" s="27">
        <f>I22+I23+I24+I25+I26+I27+I28+I29+I30+I31+I32+I33+I34+I35</f>
        <v>1133500</v>
      </c>
      <c r="J21" s="27">
        <f t="shared" ref="J21" si="0">J22+J23+J24+J25+J26+J27+J28+J29+J30+J31+J32+J33+J34+J35</f>
        <v>828000</v>
      </c>
    </row>
    <row r="22" spans="1:10" s="28" customFormat="1" ht="66.75" customHeight="1" x14ac:dyDescent="0.3">
      <c r="A22" s="42" t="s">
        <v>82</v>
      </c>
      <c r="B22" s="42" t="s">
        <v>83</v>
      </c>
      <c r="C22" s="42" t="s">
        <v>84</v>
      </c>
      <c r="D22" s="43" t="s">
        <v>85</v>
      </c>
      <c r="E22" s="37" t="s">
        <v>86</v>
      </c>
      <c r="F22" s="33" t="s">
        <v>261</v>
      </c>
      <c r="G22" s="25">
        <f>H22+I22</f>
        <v>27098311.32</v>
      </c>
      <c r="H22" s="25">
        <f>24561900+798000+923211.32+750000-895000-25000+985200</f>
        <v>27098311.32</v>
      </c>
      <c r="I22" s="25"/>
      <c r="J22" s="25"/>
    </row>
    <row r="23" spans="1:10" s="28" customFormat="1" ht="66.75" customHeight="1" x14ac:dyDescent="0.3">
      <c r="A23" s="42" t="s">
        <v>82</v>
      </c>
      <c r="B23" s="42" t="s">
        <v>83</v>
      </c>
      <c r="C23" s="42" t="s">
        <v>84</v>
      </c>
      <c r="D23" s="43" t="s">
        <v>85</v>
      </c>
      <c r="E23" s="70" t="s">
        <v>227</v>
      </c>
      <c r="F23" s="50" t="s">
        <v>257</v>
      </c>
      <c r="G23" s="25">
        <f>H23+I23</f>
        <v>500000</v>
      </c>
      <c r="H23" s="25">
        <v>500000</v>
      </c>
      <c r="I23" s="25"/>
      <c r="J23" s="25"/>
    </row>
    <row r="24" spans="1:10" s="28" customFormat="1" ht="68.25" customHeight="1" x14ac:dyDescent="0.3">
      <c r="A24" s="42" t="s">
        <v>87</v>
      </c>
      <c r="B24" s="42" t="s">
        <v>88</v>
      </c>
      <c r="C24" s="42" t="s">
        <v>89</v>
      </c>
      <c r="D24" s="43" t="s">
        <v>90</v>
      </c>
      <c r="E24" s="37" t="s">
        <v>86</v>
      </c>
      <c r="F24" s="33" t="s">
        <v>261</v>
      </c>
      <c r="G24" s="25">
        <f t="shared" ref="G24:G31" si="1">H24+I24</f>
        <v>6628120</v>
      </c>
      <c r="H24" s="25">
        <f>6488500+20500-110000+229120</f>
        <v>6628120</v>
      </c>
      <c r="I24" s="71"/>
      <c r="J24" s="71"/>
    </row>
    <row r="25" spans="1:10" s="28" customFormat="1" ht="68.25" customHeight="1" x14ac:dyDescent="0.3">
      <c r="A25" s="33" t="s">
        <v>200</v>
      </c>
      <c r="B25" s="33">
        <v>2111</v>
      </c>
      <c r="C25" s="33" t="s">
        <v>201</v>
      </c>
      <c r="D25" s="60" t="s">
        <v>202</v>
      </c>
      <c r="E25" s="37" t="s">
        <v>86</v>
      </c>
      <c r="F25" s="33" t="s">
        <v>261</v>
      </c>
      <c r="G25" s="25">
        <f t="shared" si="1"/>
        <v>665500</v>
      </c>
      <c r="H25" s="25">
        <f>319700+345800</f>
        <v>665500</v>
      </c>
      <c r="I25" s="71"/>
      <c r="J25" s="71"/>
    </row>
    <row r="26" spans="1:10" s="28" customFormat="1" ht="66.75" customHeight="1" x14ac:dyDescent="0.3">
      <c r="A26" s="42" t="s">
        <v>91</v>
      </c>
      <c r="B26" s="42" t="s">
        <v>92</v>
      </c>
      <c r="C26" s="42" t="s">
        <v>93</v>
      </c>
      <c r="D26" s="72" t="s">
        <v>94</v>
      </c>
      <c r="E26" s="37" t="s">
        <v>86</v>
      </c>
      <c r="F26" s="33" t="s">
        <v>261</v>
      </c>
      <c r="G26" s="25">
        <f t="shared" si="1"/>
        <v>6557100</v>
      </c>
      <c r="H26" s="25">
        <f>7399600-777300-65200</f>
        <v>6557100</v>
      </c>
      <c r="I26" s="71"/>
      <c r="J26" s="71"/>
    </row>
    <row r="27" spans="1:10" s="28" customFormat="1" ht="64.5" customHeight="1" x14ac:dyDescent="0.3">
      <c r="A27" s="73" t="s">
        <v>95</v>
      </c>
      <c r="B27" s="42" t="s">
        <v>96</v>
      </c>
      <c r="C27" s="42" t="s">
        <v>27</v>
      </c>
      <c r="D27" s="43" t="s">
        <v>97</v>
      </c>
      <c r="E27" s="37" t="s">
        <v>98</v>
      </c>
      <c r="F27" s="57" t="s">
        <v>262</v>
      </c>
      <c r="G27" s="25">
        <f t="shared" si="1"/>
        <v>96000</v>
      </c>
      <c r="H27" s="25">
        <v>96000</v>
      </c>
      <c r="I27" s="71"/>
      <c r="J27" s="71"/>
    </row>
    <row r="28" spans="1:10" s="28" customFormat="1" ht="78" customHeight="1" x14ac:dyDescent="0.3">
      <c r="A28" s="73" t="s">
        <v>99</v>
      </c>
      <c r="B28" s="42" t="s">
        <v>100</v>
      </c>
      <c r="C28" s="42" t="s">
        <v>101</v>
      </c>
      <c r="D28" s="46" t="s">
        <v>102</v>
      </c>
      <c r="E28" s="74" t="s">
        <v>98</v>
      </c>
      <c r="F28" s="33" t="s">
        <v>263</v>
      </c>
      <c r="G28" s="75">
        <f t="shared" si="1"/>
        <v>4275100</v>
      </c>
      <c r="H28" s="25">
        <v>4275100</v>
      </c>
      <c r="I28" s="71"/>
      <c r="J28" s="71"/>
    </row>
    <row r="29" spans="1:10" s="28" customFormat="1" ht="46.8" x14ac:dyDescent="0.3">
      <c r="A29" s="73" t="s">
        <v>52</v>
      </c>
      <c r="B29" s="42" t="s">
        <v>53</v>
      </c>
      <c r="C29" s="42" t="s">
        <v>37</v>
      </c>
      <c r="D29" s="43" t="s">
        <v>38</v>
      </c>
      <c r="E29" s="37" t="s">
        <v>40</v>
      </c>
      <c r="F29" s="50" t="s">
        <v>264</v>
      </c>
      <c r="G29" s="25">
        <f t="shared" si="1"/>
        <v>100000</v>
      </c>
      <c r="H29" s="25">
        <v>100000</v>
      </c>
      <c r="I29" s="71"/>
      <c r="J29" s="71"/>
    </row>
    <row r="30" spans="1:10" s="28" customFormat="1" ht="46.8" x14ac:dyDescent="0.3">
      <c r="A30" s="53" t="s">
        <v>243</v>
      </c>
      <c r="B30" s="33">
        <v>8110</v>
      </c>
      <c r="C30" s="53" t="s">
        <v>244</v>
      </c>
      <c r="D30" s="60" t="s">
        <v>245</v>
      </c>
      <c r="E30" s="37" t="s">
        <v>222</v>
      </c>
      <c r="F30" s="33" t="s">
        <v>265</v>
      </c>
      <c r="G30" s="25">
        <f t="shared" si="1"/>
        <v>10351088.68</v>
      </c>
      <c r="H30" s="25">
        <f>1197500+4200000+1500000+3000000+350000+19588.68+21000+35000</f>
        <v>10323088.68</v>
      </c>
      <c r="I30" s="71">
        <v>28000</v>
      </c>
      <c r="J30" s="71">
        <v>28000</v>
      </c>
    </row>
    <row r="31" spans="1:10" s="28" customFormat="1" ht="140.4" x14ac:dyDescent="0.3">
      <c r="A31" s="33" t="s">
        <v>203</v>
      </c>
      <c r="B31" s="33">
        <v>8220</v>
      </c>
      <c r="C31" s="33" t="s">
        <v>106</v>
      </c>
      <c r="D31" s="60" t="s">
        <v>204</v>
      </c>
      <c r="E31" s="70" t="s">
        <v>250</v>
      </c>
      <c r="F31" s="33" t="s">
        <v>253</v>
      </c>
      <c r="G31" s="25">
        <f t="shared" si="1"/>
        <v>1085000</v>
      </c>
      <c r="H31" s="25">
        <f>185000+300000+300000</f>
        <v>785000</v>
      </c>
      <c r="I31" s="71">
        <v>300000</v>
      </c>
      <c r="J31" s="71">
        <v>300000</v>
      </c>
    </row>
    <row r="32" spans="1:10" s="28" customFormat="1" ht="76.5" customHeight="1" x14ac:dyDescent="0.3">
      <c r="A32" s="42" t="s">
        <v>104</v>
      </c>
      <c r="B32" s="42" t="s">
        <v>105</v>
      </c>
      <c r="C32" s="42" t="s">
        <v>106</v>
      </c>
      <c r="D32" s="46" t="s">
        <v>107</v>
      </c>
      <c r="E32" s="70" t="s">
        <v>41</v>
      </c>
      <c r="F32" s="50" t="s">
        <v>266</v>
      </c>
      <c r="G32" s="25">
        <f>H32+I32</f>
        <v>1449800</v>
      </c>
      <c r="H32" s="25">
        <f>1449800</f>
        <v>1449800</v>
      </c>
      <c r="I32" s="71"/>
      <c r="J32" s="71"/>
    </row>
    <row r="33" spans="1:10" s="28" customFormat="1" ht="76.5" customHeight="1" x14ac:dyDescent="0.3">
      <c r="A33" s="42" t="s">
        <v>104</v>
      </c>
      <c r="B33" s="42" t="s">
        <v>105</v>
      </c>
      <c r="C33" s="42" t="s">
        <v>106</v>
      </c>
      <c r="D33" s="46" t="s">
        <v>107</v>
      </c>
      <c r="E33" s="70" t="s">
        <v>227</v>
      </c>
      <c r="F33" s="50" t="s">
        <v>257</v>
      </c>
      <c r="G33" s="25">
        <f>H33+I33</f>
        <v>5241874</v>
      </c>
      <c r="H33" s="25">
        <f>2100000+200000+100000+1537200-1200000+269500+638524+695000-12100+913750</f>
        <v>5241874</v>
      </c>
      <c r="I33" s="71">
        <f>1200000-1200000</f>
        <v>0</v>
      </c>
      <c r="J33" s="71">
        <f>1200000-1200000</f>
        <v>0</v>
      </c>
    </row>
    <row r="34" spans="1:10" s="28" customFormat="1" ht="76.5" customHeight="1" x14ac:dyDescent="0.3">
      <c r="A34" s="42" t="s">
        <v>224</v>
      </c>
      <c r="B34" s="42" t="s">
        <v>225</v>
      </c>
      <c r="C34" s="42" t="s">
        <v>106</v>
      </c>
      <c r="D34" s="46" t="s">
        <v>226</v>
      </c>
      <c r="E34" s="70" t="s">
        <v>227</v>
      </c>
      <c r="F34" s="50" t="s">
        <v>257</v>
      </c>
      <c r="G34" s="25">
        <f>H34+I34</f>
        <v>4681500</v>
      </c>
      <c r="H34" s="25">
        <f>949000+900000+1000000-67500+100000+1300000</f>
        <v>4181500</v>
      </c>
      <c r="I34" s="71">
        <v>500000</v>
      </c>
      <c r="J34" s="71">
        <v>500000</v>
      </c>
    </row>
    <row r="35" spans="1:10" s="28" customFormat="1" ht="99.75" customHeight="1" x14ac:dyDescent="0.3">
      <c r="A35" s="42" t="s">
        <v>108</v>
      </c>
      <c r="B35" s="42" t="s">
        <v>109</v>
      </c>
      <c r="C35" s="42" t="s">
        <v>110</v>
      </c>
      <c r="D35" s="46" t="s">
        <v>111</v>
      </c>
      <c r="E35" s="70" t="s">
        <v>112</v>
      </c>
      <c r="F35" s="50" t="s">
        <v>205</v>
      </c>
      <c r="G35" s="25">
        <f>H35+I35</f>
        <v>305500</v>
      </c>
      <c r="H35" s="25"/>
      <c r="I35" s="25">
        <f>495500-190000</f>
        <v>305500</v>
      </c>
      <c r="J35" s="71"/>
    </row>
    <row r="36" spans="1:10" s="3" customFormat="1" ht="31.2" x14ac:dyDescent="0.3">
      <c r="A36" s="44" t="s">
        <v>5</v>
      </c>
      <c r="B36" s="44"/>
      <c r="C36" s="44"/>
      <c r="D36" s="45" t="s">
        <v>192</v>
      </c>
      <c r="E36" s="40"/>
      <c r="F36" s="26"/>
      <c r="G36" s="27">
        <f>G37</f>
        <v>20273723</v>
      </c>
      <c r="H36" s="27">
        <f>H37</f>
        <v>18356023</v>
      </c>
      <c r="I36" s="27">
        <f t="shared" ref="I36:J36" si="2">I37</f>
        <v>1917700</v>
      </c>
      <c r="J36" s="27">
        <f t="shared" si="2"/>
        <v>1917700</v>
      </c>
    </row>
    <row r="37" spans="1:10" s="3" customFormat="1" ht="31.2" x14ac:dyDescent="0.3">
      <c r="A37" s="44" t="s">
        <v>6</v>
      </c>
      <c r="B37" s="44"/>
      <c r="C37" s="44"/>
      <c r="D37" s="45" t="s">
        <v>192</v>
      </c>
      <c r="E37" s="40"/>
      <c r="F37" s="26"/>
      <c r="G37" s="27">
        <f>G38+G39+G40+G41+G42+G43+G44+G45+G46+G47+G48+G49+G50+G51</f>
        <v>20273723</v>
      </c>
      <c r="H37" s="27">
        <f>H38+H39+H40+H41+H42+H43+H44+H45+H46+H47+H48+H49+H50+H51</f>
        <v>18356023</v>
      </c>
      <c r="I37" s="27">
        <f t="shared" ref="I37:J37" si="3">I38+I39+I40+I41+I42+I43+I44+I45+I46+I47+I48+I49+I50+I51</f>
        <v>1917700</v>
      </c>
      <c r="J37" s="27">
        <f t="shared" si="3"/>
        <v>1917700</v>
      </c>
    </row>
    <row r="38" spans="1:10" s="28" customFormat="1" ht="73.5" customHeight="1" x14ac:dyDescent="0.3">
      <c r="A38" s="42" t="s">
        <v>7</v>
      </c>
      <c r="B38" s="42" t="s">
        <v>30</v>
      </c>
      <c r="C38" s="42" t="s">
        <v>15</v>
      </c>
      <c r="D38" s="43" t="s">
        <v>8</v>
      </c>
      <c r="E38" s="37" t="s">
        <v>40</v>
      </c>
      <c r="F38" s="33" t="s">
        <v>67</v>
      </c>
      <c r="G38" s="25">
        <f t="shared" ref="G38:G46" si="4">H38+I38</f>
        <v>60000</v>
      </c>
      <c r="H38" s="25">
        <v>60000</v>
      </c>
      <c r="I38" s="25"/>
      <c r="J38" s="25"/>
    </row>
    <row r="39" spans="1:10" s="28" customFormat="1" ht="93.75" customHeight="1" x14ac:dyDescent="0.3">
      <c r="A39" s="42" t="s">
        <v>7</v>
      </c>
      <c r="B39" s="42" t="s">
        <v>30</v>
      </c>
      <c r="C39" s="42" t="s">
        <v>15</v>
      </c>
      <c r="D39" s="43" t="s">
        <v>8</v>
      </c>
      <c r="E39" s="37" t="s">
        <v>117</v>
      </c>
      <c r="F39" s="57" t="s">
        <v>118</v>
      </c>
      <c r="G39" s="25">
        <f t="shared" si="4"/>
        <v>455000</v>
      </c>
      <c r="H39" s="25">
        <v>455000</v>
      </c>
      <c r="I39" s="25"/>
      <c r="J39" s="25"/>
    </row>
    <row r="40" spans="1:10" s="28" customFormat="1" ht="76.5" customHeight="1" x14ac:dyDescent="0.3">
      <c r="A40" s="42" t="s">
        <v>78</v>
      </c>
      <c r="B40" s="42" t="s">
        <v>79</v>
      </c>
      <c r="C40" s="42" t="s">
        <v>54</v>
      </c>
      <c r="D40" s="46" t="s">
        <v>77</v>
      </c>
      <c r="E40" s="37" t="s">
        <v>151</v>
      </c>
      <c r="F40" s="33" t="s">
        <v>267</v>
      </c>
      <c r="G40" s="25">
        <f t="shared" si="4"/>
        <v>2656273</v>
      </c>
      <c r="H40" s="25">
        <f>13000000-3877400-3873727-4000000</f>
        <v>1248873</v>
      </c>
      <c r="I40" s="25">
        <f>1200000+207400</f>
        <v>1407400</v>
      </c>
      <c r="J40" s="25">
        <f>1200000+207400</f>
        <v>1407400</v>
      </c>
    </row>
    <row r="41" spans="1:10" s="28" customFormat="1" ht="61.5" customHeight="1" x14ac:dyDescent="0.3">
      <c r="A41" s="42" t="s">
        <v>78</v>
      </c>
      <c r="B41" s="42" t="s">
        <v>79</v>
      </c>
      <c r="C41" s="42" t="s">
        <v>54</v>
      </c>
      <c r="D41" s="46" t="s">
        <v>77</v>
      </c>
      <c r="E41" s="37" t="s">
        <v>40</v>
      </c>
      <c r="F41" s="33" t="s">
        <v>67</v>
      </c>
      <c r="G41" s="25">
        <f t="shared" si="4"/>
        <v>215000</v>
      </c>
      <c r="H41" s="25">
        <v>215000</v>
      </c>
      <c r="I41" s="25"/>
      <c r="J41" s="25"/>
    </row>
    <row r="42" spans="1:10" s="28" customFormat="1" ht="61.5" customHeight="1" x14ac:dyDescent="0.3">
      <c r="A42" s="42" t="s">
        <v>78</v>
      </c>
      <c r="B42" s="42" t="s">
        <v>79</v>
      </c>
      <c r="C42" s="42" t="s">
        <v>54</v>
      </c>
      <c r="D42" s="46" t="s">
        <v>77</v>
      </c>
      <c r="E42" s="37" t="s">
        <v>231</v>
      </c>
      <c r="F42" s="33" t="s">
        <v>232</v>
      </c>
      <c r="G42" s="25">
        <f t="shared" si="4"/>
        <v>198000</v>
      </c>
      <c r="H42" s="25">
        <v>198000</v>
      </c>
      <c r="I42" s="25"/>
      <c r="J42" s="25"/>
    </row>
    <row r="43" spans="1:10" s="28" customFormat="1" ht="67.5" customHeight="1" x14ac:dyDescent="0.3">
      <c r="A43" s="42" t="s">
        <v>152</v>
      </c>
      <c r="B43" s="42" t="s">
        <v>153</v>
      </c>
      <c r="C43" s="42" t="s">
        <v>154</v>
      </c>
      <c r="D43" s="46" t="s">
        <v>155</v>
      </c>
      <c r="E43" s="37" t="s">
        <v>151</v>
      </c>
      <c r="F43" s="33" t="s">
        <v>267</v>
      </c>
      <c r="G43" s="25">
        <f t="shared" si="4"/>
        <v>600000</v>
      </c>
      <c r="H43" s="25">
        <v>600000</v>
      </c>
      <c r="I43" s="25"/>
      <c r="J43" s="25"/>
    </row>
    <row r="44" spans="1:10" s="28" customFormat="1" ht="67.5" customHeight="1" x14ac:dyDescent="0.3">
      <c r="A44" s="42" t="s">
        <v>156</v>
      </c>
      <c r="B44" s="42" t="s">
        <v>157</v>
      </c>
      <c r="C44" s="42" t="s">
        <v>158</v>
      </c>
      <c r="D44" s="46" t="s">
        <v>159</v>
      </c>
      <c r="E44" s="37" t="s">
        <v>28</v>
      </c>
      <c r="F44" s="33" t="s">
        <v>66</v>
      </c>
      <c r="G44" s="25">
        <f t="shared" si="4"/>
        <v>3300</v>
      </c>
      <c r="H44" s="25">
        <v>3300</v>
      </c>
      <c r="I44" s="25"/>
      <c r="J44" s="25"/>
    </row>
    <row r="45" spans="1:10" s="28" customFormat="1" ht="67.5" customHeight="1" x14ac:dyDescent="0.3">
      <c r="A45" s="33" t="s">
        <v>240</v>
      </c>
      <c r="B45" s="33" t="s">
        <v>241</v>
      </c>
      <c r="C45" s="33" t="s">
        <v>162</v>
      </c>
      <c r="D45" s="60" t="s">
        <v>242</v>
      </c>
      <c r="E45" s="37" t="s">
        <v>222</v>
      </c>
      <c r="F45" s="33" t="s">
        <v>265</v>
      </c>
      <c r="G45" s="25">
        <f t="shared" si="4"/>
        <v>100000</v>
      </c>
      <c r="H45" s="25">
        <v>100000</v>
      </c>
      <c r="I45" s="25"/>
      <c r="J45" s="25"/>
    </row>
    <row r="46" spans="1:10" s="28" customFormat="1" ht="67.5" customHeight="1" x14ac:dyDescent="0.3">
      <c r="A46" s="42" t="s">
        <v>160</v>
      </c>
      <c r="B46" s="42" t="s">
        <v>161</v>
      </c>
      <c r="C46" s="42" t="s">
        <v>162</v>
      </c>
      <c r="D46" s="46" t="s">
        <v>163</v>
      </c>
      <c r="E46" s="37" t="s">
        <v>98</v>
      </c>
      <c r="F46" s="33" t="s">
        <v>268</v>
      </c>
      <c r="G46" s="25">
        <f t="shared" si="4"/>
        <v>30000</v>
      </c>
      <c r="H46" s="25">
        <v>30000</v>
      </c>
      <c r="I46" s="25"/>
      <c r="J46" s="25"/>
    </row>
    <row r="47" spans="1:10" s="54" customFormat="1" ht="70.5" customHeight="1" x14ac:dyDescent="0.3">
      <c r="A47" s="53" t="s">
        <v>24</v>
      </c>
      <c r="B47" s="33">
        <v>3242</v>
      </c>
      <c r="C47" s="33">
        <v>1090</v>
      </c>
      <c r="D47" s="37" t="s">
        <v>14</v>
      </c>
      <c r="E47" s="37" t="s">
        <v>29</v>
      </c>
      <c r="F47" s="33" t="s">
        <v>269</v>
      </c>
      <c r="G47" s="25">
        <f t="shared" ref="G47:G121" si="5">H47+I47</f>
        <v>338200</v>
      </c>
      <c r="H47" s="25">
        <f>338000+200</f>
        <v>338200</v>
      </c>
      <c r="I47" s="25"/>
      <c r="J47" s="25"/>
    </row>
    <row r="48" spans="1:10" s="54" customFormat="1" ht="70.5" customHeight="1" x14ac:dyDescent="0.3">
      <c r="A48" s="53" t="s">
        <v>24</v>
      </c>
      <c r="B48" s="33">
        <v>3242</v>
      </c>
      <c r="C48" s="33">
        <v>1090</v>
      </c>
      <c r="D48" s="37" t="s">
        <v>14</v>
      </c>
      <c r="E48" s="37" t="s">
        <v>151</v>
      </c>
      <c r="F48" s="33" t="s">
        <v>267</v>
      </c>
      <c r="G48" s="25">
        <f t="shared" si="5"/>
        <v>1410000</v>
      </c>
      <c r="H48" s="25">
        <f>1400000+10000</f>
        <v>1410000</v>
      </c>
      <c r="I48" s="25"/>
      <c r="J48" s="25"/>
    </row>
    <row r="49" spans="1:12" s="54" customFormat="1" ht="70.5" customHeight="1" x14ac:dyDescent="0.3">
      <c r="A49" s="53" t="s">
        <v>24</v>
      </c>
      <c r="B49" s="33">
        <v>3242</v>
      </c>
      <c r="C49" s="33">
        <v>1090</v>
      </c>
      <c r="D49" s="37" t="s">
        <v>14</v>
      </c>
      <c r="E49" s="37" t="s">
        <v>98</v>
      </c>
      <c r="F49" s="33" t="s">
        <v>263</v>
      </c>
      <c r="G49" s="25">
        <f t="shared" si="5"/>
        <v>6130800</v>
      </c>
      <c r="H49" s="25">
        <f>262000+1878800+4000000-10000</f>
        <v>6130800</v>
      </c>
      <c r="I49" s="25"/>
      <c r="J49" s="25"/>
    </row>
    <row r="50" spans="1:12" s="54" customFormat="1" ht="70.5" customHeight="1" x14ac:dyDescent="0.3">
      <c r="A50" s="53" t="s">
        <v>164</v>
      </c>
      <c r="B50" s="33">
        <v>5031</v>
      </c>
      <c r="C50" s="53" t="s">
        <v>45</v>
      </c>
      <c r="D50" s="43" t="s">
        <v>165</v>
      </c>
      <c r="E50" s="37" t="s">
        <v>28</v>
      </c>
      <c r="F50" s="33" t="s">
        <v>66</v>
      </c>
      <c r="G50" s="25">
        <f t="shared" si="5"/>
        <v>2100</v>
      </c>
      <c r="H50" s="25">
        <v>2100</v>
      </c>
      <c r="I50" s="25"/>
      <c r="J50" s="25"/>
    </row>
    <row r="51" spans="1:12" s="54" customFormat="1" ht="70.5" customHeight="1" x14ac:dyDescent="0.3">
      <c r="A51" s="53" t="s">
        <v>251</v>
      </c>
      <c r="B51" s="33">
        <v>8110</v>
      </c>
      <c r="C51" s="53" t="s">
        <v>244</v>
      </c>
      <c r="D51" s="76" t="s">
        <v>245</v>
      </c>
      <c r="E51" s="37" t="s">
        <v>252</v>
      </c>
      <c r="F51" s="33" t="s">
        <v>265</v>
      </c>
      <c r="G51" s="25">
        <f t="shared" si="5"/>
        <v>8075050</v>
      </c>
      <c r="H51" s="25">
        <f>6656000+37500-1656000+475000+1978150+74100</f>
        <v>7564750</v>
      </c>
      <c r="I51" s="25">
        <v>510300</v>
      </c>
      <c r="J51" s="25">
        <v>510300</v>
      </c>
    </row>
    <row r="52" spans="1:12" s="3" customFormat="1" ht="46.5" customHeight="1" x14ac:dyDescent="0.3">
      <c r="A52" s="44" t="s">
        <v>17</v>
      </c>
      <c r="B52" s="44"/>
      <c r="C52" s="44"/>
      <c r="D52" s="45" t="s">
        <v>193</v>
      </c>
      <c r="E52" s="40"/>
      <c r="F52" s="26"/>
      <c r="G52" s="27">
        <f>G53</f>
        <v>35996260</v>
      </c>
      <c r="H52" s="27">
        <f>H53</f>
        <v>35996260</v>
      </c>
      <c r="I52" s="27"/>
      <c r="J52" s="27"/>
    </row>
    <row r="53" spans="1:12" s="3" customFormat="1" ht="46.5" customHeight="1" x14ac:dyDescent="0.3">
      <c r="A53" s="44" t="s">
        <v>18</v>
      </c>
      <c r="B53" s="44"/>
      <c r="C53" s="44"/>
      <c r="D53" s="45" t="s">
        <v>193</v>
      </c>
      <c r="E53" s="40"/>
      <c r="F53" s="26"/>
      <c r="G53" s="27">
        <f>G54+G55+G56+G57+G58+G59+G60+G61+G62+G63+G64+G65+G66+G67+G68</f>
        <v>35996260</v>
      </c>
      <c r="H53" s="27">
        <f>H54+H55+H56+H57+H58+H59+H60+H61+H62+H63+H64+H65+H66+H67+H68</f>
        <v>35996260</v>
      </c>
      <c r="I53" s="27"/>
      <c r="J53" s="27"/>
    </row>
    <row r="54" spans="1:12" s="28" customFormat="1" ht="69" customHeight="1" x14ac:dyDescent="0.3">
      <c r="A54" s="42" t="s">
        <v>113</v>
      </c>
      <c r="B54" s="42" t="s">
        <v>114</v>
      </c>
      <c r="C54" s="42" t="s">
        <v>115</v>
      </c>
      <c r="D54" s="77" t="s">
        <v>116</v>
      </c>
      <c r="E54" s="37" t="s">
        <v>98</v>
      </c>
      <c r="F54" s="33" t="s">
        <v>263</v>
      </c>
      <c r="G54" s="25">
        <f>H54+I54</f>
        <v>161000</v>
      </c>
      <c r="H54" s="25">
        <v>161000</v>
      </c>
      <c r="I54" s="71"/>
      <c r="J54" s="71"/>
    </row>
    <row r="55" spans="1:12" s="28" customFormat="1" ht="82.5" customHeight="1" x14ac:dyDescent="0.3">
      <c r="A55" s="42" t="s">
        <v>113</v>
      </c>
      <c r="B55" s="42" t="s">
        <v>114</v>
      </c>
      <c r="C55" s="42" t="s">
        <v>115</v>
      </c>
      <c r="D55" s="77" t="s">
        <v>116</v>
      </c>
      <c r="E55" s="78" t="s">
        <v>117</v>
      </c>
      <c r="F55" s="57" t="s">
        <v>118</v>
      </c>
      <c r="G55" s="25">
        <f t="shared" ref="G55:G66" si="6">H55+I55</f>
        <v>25000</v>
      </c>
      <c r="H55" s="25">
        <v>25000</v>
      </c>
      <c r="I55" s="71"/>
      <c r="J55" s="71"/>
    </row>
    <row r="56" spans="1:12" s="28" customFormat="1" ht="68.25" customHeight="1" x14ac:dyDescent="0.3">
      <c r="A56" s="42" t="s">
        <v>119</v>
      </c>
      <c r="B56" s="42" t="s">
        <v>120</v>
      </c>
      <c r="C56" s="42" t="s">
        <v>115</v>
      </c>
      <c r="D56" s="77" t="s">
        <v>121</v>
      </c>
      <c r="E56" s="37" t="s">
        <v>98</v>
      </c>
      <c r="F56" s="33" t="s">
        <v>263</v>
      </c>
      <c r="G56" s="25">
        <f t="shared" si="6"/>
        <v>48000</v>
      </c>
      <c r="H56" s="25">
        <v>48000</v>
      </c>
      <c r="I56" s="71"/>
      <c r="J56" s="71"/>
    </row>
    <row r="57" spans="1:12" s="28" customFormat="1" ht="70.5" customHeight="1" x14ac:dyDescent="0.3">
      <c r="A57" s="42" t="s">
        <v>25</v>
      </c>
      <c r="B57" s="42" t="s">
        <v>69</v>
      </c>
      <c r="C57" s="42" t="s">
        <v>27</v>
      </c>
      <c r="D57" s="43" t="s">
        <v>80</v>
      </c>
      <c r="E57" s="37" t="s">
        <v>254</v>
      </c>
      <c r="F57" s="33" t="s">
        <v>230</v>
      </c>
      <c r="G57" s="25">
        <f t="shared" si="6"/>
        <v>152200</v>
      </c>
      <c r="H57" s="25">
        <v>152200</v>
      </c>
      <c r="I57" s="71"/>
      <c r="J57" s="71"/>
      <c r="L57" s="51"/>
    </row>
    <row r="58" spans="1:12" s="28" customFormat="1" ht="70.5" customHeight="1" x14ac:dyDescent="0.3">
      <c r="A58" s="42" t="s">
        <v>25</v>
      </c>
      <c r="B58" s="42" t="s">
        <v>69</v>
      </c>
      <c r="C58" s="42" t="s">
        <v>27</v>
      </c>
      <c r="D58" s="43" t="s">
        <v>80</v>
      </c>
      <c r="E58" s="37" t="s">
        <v>98</v>
      </c>
      <c r="F58" s="33" t="s">
        <v>268</v>
      </c>
      <c r="G58" s="25">
        <f t="shared" si="6"/>
        <v>225500</v>
      </c>
      <c r="H58" s="25">
        <f>225500</f>
        <v>225500</v>
      </c>
      <c r="I58" s="71"/>
      <c r="J58" s="71"/>
      <c r="L58" s="51"/>
    </row>
    <row r="59" spans="1:12" s="28" customFormat="1" ht="67.95" customHeight="1" x14ac:dyDescent="0.3">
      <c r="A59" s="42" t="s">
        <v>134</v>
      </c>
      <c r="B59" s="42" t="s">
        <v>135</v>
      </c>
      <c r="C59" s="42" t="s">
        <v>27</v>
      </c>
      <c r="D59" s="67" t="s">
        <v>137</v>
      </c>
      <c r="E59" s="37" t="s">
        <v>98</v>
      </c>
      <c r="F59" s="33" t="s">
        <v>270</v>
      </c>
      <c r="G59" s="25">
        <f>H59+I59</f>
        <v>640000</v>
      </c>
      <c r="H59" s="25">
        <v>640000</v>
      </c>
      <c r="I59" s="71"/>
      <c r="J59" s="71"/>
      <c r="L59" s="51"/>
    </row>
    <row r="60" spans="1:12" s="28" customFormat="1" ht="70.2" hidden="1" customHeight="1" x14ac:dyDescent="0.3">
      <c r="A60" s="42" t="s">
        <v>136</v>
      </c>
      <c r="B60" s="42" t="s">
        <v>26</v>
      </c>
      <c r="C60" s="42" t="s">
        <v>27</v>
      </c>
      <c r="D60" s="43" t="s">
        <v>16</v>
      </c>
      <c r="E60" s="37" t="s">
        <v>255</v>
      </c>
      <c r="F60" s="33" t="s">
        <v>228</v>
      </c>
      <c r="G60" s="25">
        <f>H60+I60</f>
        <v>0</v>
      </c>
      <c r="H60" s="25">
        <f>1200000-537700-662300</f>
        <v>0</v>
      </c>
      <c r="I60" s="71"/>
      <c r="J60" s="71"/>
      <c r="L60" s="51"/>
    </row>
    <row r="61" spans="1:12" s="28" customFormat="1" ht="62.4" x14ac:dyDescent="0.3">
      <c r="A61" s="42" t="s">
        <v>122</v>
      </c>
      <c r="B61" s="42" t="s">
        <v>123</v>
      </c>
      <c r="C61" s="42" t="s">
        <v>30</v>
      </c>
      <c r="D61" s="43" t="s">
        <v>124</v>
      </c>
      <c r="E61" s="37" t="s">
        <v>98</v>
      </c>
      <c r="F61" s="33" t="s">
        <v>263</v>
      </c>
      <c r="G61" s="25">
        <f t="shared" si="6"/>
        <v>1710000</v>
      </c>
      <c r="H61" s="25">
        <f>900000+500000+310000</f>
        <v>1710000</v>
      </c>
      <c r="I61" s="71"/>
      <c r="J61" s="71"/>
      <c r="L61" s="51"/>
    </row>
    <row r="62" spans="1:12" s="28" customFormat="1" ht="100.5" customHeight="1" x14ac:dyDescent="0.3">
      <c r="A62" s="42" t="s">
        <v>125</v>
      </c>
      <c r="B62" s="42" t="s">
        <v>126</v>
      </c>
      <c r="C62" s="42" t="s">
        <v>127</v>
      </c>
      <c r="D62" s="43" t="s">
        <v>128</v>
      </c>
      <c r="E62" s="37" t="s">
        <v>98</v>
      </c>
      <c r="F62" s="33" t="s">
        <v>263</v>
      </c>
      <c r="G62" s="25">
        <f t="shared" si="6"/>
        <v>1500000</v>
      </c>
      <c r="H62" s="25">
        <v>1500000</v>
      </c>
      <c r="I62" s="71"/>
      <c r="J62" s="71"/>
      <c r="L62" s="51"/>
    </row>
    <row r="63" spans="1:12" s="28" customFormat="1" ht="72.75" customHeight="1" x14ac:dyDescent="0.3">
      <c r="A63" s="42" t="s">
        <v>129</v>
      </c>
      <c r="B63" s="42" t="s">
        <v>130</v>
      </c>
      <c r="C63" s="42" t="s">
        <v>115</v>
      </c>
      <c r="D63" s="43" t="s">
        <v>131</v>
      </c>
      <c r="E63" s="37" t="s">
        <v>98</v>
      </c>
      <c r="F63" s="33" t="s">
        <v>263</v>
      </c>
      <c r="G63" s="25">
        <f t="shared" si="6"/>
        <v>100000</v>
      </c>
      <c r="H63" s="25">
        <v>100000</v>
      </c>
      <c r="I63" s="71"/>
      <c r="J63" s="71"/>
      <c r="L63" s="51"/>
    </row>
    <row r="64" spans="1:12" s="28" customFormat="1" ht="72.75" customHeight="1" x14ac:dyDescent="0.3">
      <c r="A64" s="42" t="s">
        <v>247</v>
      </c>
      <c r="B64" s="42" t="s">
        <v>248</v>
      </c>
      <c r="C64" s="42" t="s">
        <v>157</v>
      </c>
      <c r="D64" s="76" t="s">
        <v>249</v>
      </c>
      <c r="E64" s="37" t="s">
        <v>98</v>
      </c>
      <c r="F64" s="33" t="s">
        <v>263</v>
      </c>
      <c r="G64" s="25">
        <f t="shared" si="6"/>
        <v>722840</v>
      </c>
      <c r="H64" s="25">
        <f>553840+109000+60000</f>
        <v>722840</v>
      </c>
      <c r="I64" s="71"/>
      <c r="J64" s="71"/>
      <c r="L64" s="51"/>
    </row>
    <row r="65" spans="1:12" s="22" customFormat="1" ht="98.25" customHeight="1" x14ac:dyDescent="0.3">
      <c r="A65" s="42" t="s">
        <v>132</v>
      </c>
      <c r="B65" s="42" t="s">
        <v>100</v>
      </c>
      <c r="C65" s="42" t="s">
        <v>101</v>
      </c>
      <c r="D65" s="79" t="s">
        <v>102</v>
      </c>
      <c r="E65" s="37" t="s">
        <v>98</v>
      </c>
      <c r="F65" s="33" t="s">
        <v>263</v>
      </c>
      <c r="G65" s="25">
        <f t="shared" si="6"/>
        <v>26112220</v>
      </c>
      <c r="H65" s="25">
        <f>23080900+200000-200000+400000+50000+1700000-7200+120000+70000+35600-58080+537700+553300-370000</f>
        <v>26112220</v>
      </c>
      <c r="I65" s="71"/>
      <c r="J65" s="71"/>
      <c r="K65" s="69"/>
    </row>
    <row r="66" spans="1:12" s="28" customFormat="1" ht="127.5" customHeight="1" x14ac:dyDescent="0.3">
      <c r="A66" s="42" t="s">
        <v>132</v>
      </c>
      <c r="B66" s="42" t="s">
        <v>100</v>
      </c>
      <c r="C66" s="42" t="s">
        <v>101</v>
      </c>
      <c r="D66" s="43" t="s">
        <v>102</v>
      </c>
      <c r="E66" s="78" t="s">
        <v>117</v>
      </c>
      <c r="F66" s="57" t="s">
        <v>271</v>
      </c>
      <c r="G66" s="25">
        <f t="shared" si="6"/>
        <v>4250100</v>
      </c>
      <c r="H66" s="25">
        <f>4120100+200000-70000</f>
        <v>4250100</v>
      </c>
      <c r="I66" s="71"/>
      <c r="J66" s="71"/>
      <c r="K66" s="51"/>
      <c r="L66" s="51"/>
    </row>
    <row r="67" spans="1:12" s="28" customFormat="1" ht="76.5" customHeight="1" x14ac:dyDescent="0.3">
      <c r="A67" s="42" t="s">
        <v>132</v>
      </c>
      <c r="B67" s="42" t="s">
        <v>100</v>
      </c>
      <c r="C67" s="42" t="s">
        <v>101</v>
      </c>
      <c r="D67" s="43" t="s">
        <v>102</v>
      </c>
      <c r="E67" s="37" t="s">
        <v>133</v>
      </c>
      <c r="F67" s="33" t="s">
        <v>260</v>
      </c>
      <c r="G67" s="25">
        <f>H67+I67</f>
        <v>304400</v>
      </c>
      <c r="H67" s="25">
        <f>340000-35600</f>
        <v>304400</v>
      </c>
      <c r="I67" s="71"/>
      <c r="J67" s="71"/>
    </row>
    <row r="68" spans="1:12" s="54" customFormat="1" ht="70.5" customHeight="1" x14ac:dyDescent="0.3">
      <c r="A68" s="53" t="s">
        <v>292</v>
      </c>
      <c r="B68" s="33">
        <v>8110</v>
      </c>
      <c r="C68" s="53" t="s">
        <v>244</v>
      </c>
      <c r="D68" s="76" t="s">
        <v>245</v>
      </c>
      <c r="E68" s="37" t="s">
        <v>252</v>
      </c>
      <c r="F68" s="33" t="s">
        <v>265</v>
      </c>
      <c r="G68" s="25">
        <f t="shared" ref="G68" si="7">H68+I68</f>
        <v>45000</v>
      </c>
      <c r="H68" s="25">
        <v>45000</v>
      </c>
      <c r="I68" s="25"/>
      <c r="J68" s="25"/>
    </row>
    <row r="69" spans="1:12" s="3" customFormat="1" ht="40.5" customHeight="1" x14ac:dyDescent="0.3">
      <c r="A69" s="44" t="s">
        <v>167</v>
      </c>
      <c r="B69" s="44"/>
      <c r="C69" s="44"/>
      <c r="D69" s="45" t="s">
        <v>194</v>
      </c>
      <c r="E69" s="40"/>
      <c r="F69" s="26"/>
      <c r="G69" s="27">
        <f>G70</f>
        <v>2718259</v>
      </c>
      <c r="H69" s="27">
        <f>H70</f>
        <v>2419259</v>
      </c>
      <c r="I69" s="27">
        <f t="shared" ref="I69:J69" si="8">I70</f>
        <v>299000</v>
      </c>
      <c r="J69" s="27">
        <f t="shared" si="8"/>
        <v>49000</v>
      </c>
    </row>
    <row r="70" spans="1:12" s="3" customFormat="1" ht="31.2" x14ac:dyDescent="0.3">
      <c r="A70" s="44" t="s">
        <v>168</v>
      </c>
      <c r="B70" s="44"/>
      <c r="C70" s="44"/>
      <c r="D70" s="45" t="s">
        <v>194</v>
      </c>
      <c r="E70" s="40"/>
      <c r="F70" s="26"/>
      <c r="G70" s="27">
        <f>G71+G72+G73+G74+G75+G76+G77</f>
        <v>2718259</v>
      </c>
      <c r="H70" s="27">
        <f t="shared" ref="H70:J70" si="9">H71+H72+H73+H74+H75+H76+H77</f>
        <v>2419259</v>
      </c>
      <c r="I70" s="27">
        <f t="shared" si="9"/>
        <v>299000</v>
      </c>
      <c r="J70" s="27">
        <f t="shared" si="9"/>
        <v>49000</v>
      </c>
    </row>
    <row r="71" spans="1:12" s="28" customFormat="1" ht="46.8" x14ac:dyDescent="0.3">
      <c r="A71" s="42" t="s">
        <v>169</v>
      </c>
      <c r="B71" s="42" t="s">
        <v>170</v>
      </c>
      <c r="C71" s="42" t="s">
        <v>171</v>
      </c>
      <c r="D71" s="43" t="s">
        <v>172</v>
      </c>
      <c r="E71" s="58" t="s">
        <v>195</v>
      </c>
      <c r="F71" s="57" t="s">
        <v>229</v>
      </c>
      <c r="G71" s="25">
        <f t="shared" ref="G71:G76" si="10">H71+I71</f>
        <v>319000</v>
      </c>
      <c r="H71" s="25">
        <v>319000</v>
      </c>
      <c r="I71" s="71"/>
      <c r="J71" s="71"/>
    </row>
    <row r="72" spans="1:12" s="28" customFormat="1" ht="46.8" x14ac:dyDescent="0.3">
      <c r="A72" s="42" t="s">
        <v>173</v>
      </c>
      <c r="B72" s="42" t="s">
        <v>174</v>
      </c>
      <c r="C72" s="42" t="s">
        <v>158</v>
      </c>
      <c r="D72" s="43" t="s">
        <v>175</v>
      </c>
      <c r="E72" s="58" t="s">
        <v>195</v>
      </c>
      <c r="F72" s="57" t="s">
        <v>229</v>
      </c>
      <c r="G72" s="25">
        <f t="shared" si="10"/>
        <v>250000</v>
      </c>
      <c r="H72" s="71"/>
      <c r="I72" s="25">
        <v>250000</v>
      </c>
      <c r="J72" s="71"/>
    </row>
    <row r="73" spans="1:12" s="28" customFormat="1" ht="46.8" x14ac:dyDescent="0.3">
      <c r="A73" s="42" t="s">
        <v>176</v>
      </c>
      <c r="B73" s="42" t="s">
        <v>177</v>
      </c>
      <c r="C73" s="42" t="s">
        <v>178</v>
      </c>
      <c r="D73" s="43" t="s">
        <v>179</v>
      </c>
      <c r="E73" s="52" t="s">
        <v>195</v>
      </c>
      <c r="F73" s="57" t="s">
        <v>229</v>
      </c>
      <c r="G73" s="25">
        <f t="shared" si="10"/>
        <v>44900</v>
      </c>
      <c r="H73" s="25">
        <v>44900</v>
      </c>
      <c r="I73" s="71"/>
      <c r="J73" s="71"/>
    </row>
    <row r="74" spans="1:12" s="28" customFormat="1" ht="46.8" x14ac:dyDescent="0.3">
      <c r="A74" s="42" t="s">
        <v>180</v>
      </c>
      <c r="B74" s="42" t="s">
        <v>181</v>
      </c>
      <c r="C74" s="42" t="s">
        <v>178</v>
      </c>
      <c r="D74" s="43" t="s">
        <v>182</v>
      </c>
      <c r="E74" s="58" t="s">
        <v>195</v>
      </c>
      <c r="F74" s="57" t="s">
        <v>229</v>
      </c>
      <c r="G74" s="25">
        <f t="shared" si="10"/>
        <v>37400</v>
      </c>
      <c r="H74" s="25">
        <v>37400</v>
      </c>
      <c r="I74" s="71"/>
      <c r="J74" s="71"/>
    </row>
    <row r="75" spans="1:12" s="28" customFormat="1" ht="46.8" x14ac:dyDescent="0.3">
      <c r="A75" s="42" t="s">
        <v>183</v>
      </c>
      <c r="B75" s="42" t="s">
        <v>184</v>
      </c>
      <c r="C75" s="42" t="s">
        <v>185</v>
      </c>
      <c r="D75" s="43" t="s">
        <v>186</v>
      </c>
      <c r="E75" s="58" t="s">
        <v>195</v>
      </c>
      <c r="F75" s="57" t="s">
        <v>229</v>
      </c>
      <c r="G75" s="25">
        <f t="shared" si="10"/>
        <v>135200</v>
      </c>
      <c r="H75" s="71">
        <v>135200</v>
      </c>
      <c r="I75" s="25"/>
      <c r="J75" s="71"/>
    </row>
    <row r="76" spans="1:12" s="28" customFormat="1" ht="46.8" x14ac:dyDescent="0.3">
      <c r="A76" s="42" t="s">
        <v>187</v>
      </c>
      <c r="B76" s="42" t="s">
        <v>188</v>
      </c>
      <c r="C76" s="42" t="s">
        <v>189</v>
      </c>
      <c r="D76" s="43" t="s">
        <v>190</v>
      </c>
      <c r="E76" s="58" t="s">
        <v>195</v>
      </c>
      <c r="F76" s="57" t="s">
        <v>229</v>
      </c>
      <c r="G76" s="25">
        <f t="shared" si="10"/>
        <v>1771459</v>
      </c>
      <c r="H76" s="25">
        <f>2132700-19000-110300-181941-50000</f>
        <v>1771459</v>
      </c>
      <c r="I76" s="71"/>
      <c r="J76" s="71"/>
    </row>
    <row r="77" spans="1:12" s="54" customFormat="1" ht="70.5" customHeight="1" x14ac:dyDescent="0.3">
      <c r="A77" s="53" t="s">
        <v>277</v>
      </c>
      <c r="B77" s="33">
        <v>8110</v>
      </c>
      <c r="C77" s="53" t="s">
        <v>244</v>
      </c>
      <c r="D77" s="76" t="s">
        <v>245</v>
      </c>
      <c r="E77" s="37" t="s">
        <v>252</v>
      </c>
      <c r="F77" s="33" t="s">
        <v>265</v>
      </c>
      <c r="G77" s="25">
        <f>H77+I77</f>
        <v>160300</v>
      </c>
      <c r="H77" s="25">
        <f>50250+11050+50000</f>
        <v>111300</v>
      </c>
      <c r="I77" s="25">
        <f>49000</f>
        <v>49000</v>
      </c>
      <c r="J77" s="25">
        <f>49000</f>
        <v>49000</v>
      </c>
    </row>
    <row r="78" spans="1:12" s="3" customFormat="1" ht="31.2" x14ac:dyDescent="0.3">
      <c r="A78" s="44" t="s">
        <v>22</v>
      </c>
      <c r="B78" s="44"/>
      <c r="C78" s="44"/>
      <c r="D78" s="45" t="s">
        <v>223</v>
      </c>
      <c r="E78" s="40"/>
      <c r="F78" s="26"/>
      <c r="G78" s="27">
        <f>G79</f>
        <v>3675000</v>
      </c>
      <c r="H78" s="27">
        <f>H79</f>
        <v>3675000</v>
      </c>
      <c r="I78" s="27"/>
      <c r="J78" s="27"/>
    </row>
    <row r="79" spans="1:12" s="3" customFormat="1" ht="40.200000000000003" customHeight="1" x14ac:dyDescent="0.3">
      <c r="A79" s="44" t="s">
        <v>23</v>
      </c>
      <c r="B79" s="44"/>
      <c r="C79" s="44"/>
      <c r="D79" s="45" t="s">
        <v>223</v>
      </c>
      <c r="E79" s="40"/>
      <c r="F79" s="26"/>
      <c r="G79" s="27">
        <f>G80+G81+G82+G83</f>
        <v>3675000</v>
      </c>
      <c r="H79" s="27">
        <f>H80+H81+H82+H83</f>
        <v>3675000</v>
      </c>
      <c r="I79" s="27"/>
      <c r="J79" s="27"/>
    </row>
    <row r="80" spans="1:12" s="28" customFormat="1" ht="72.75" customHeight="1" x14ac:dyDescent="0.3">
      <c r="A80" s="42" t="s">
        <v>49</v>
      </c>
      <c r="B80" s="42" t="s">
        <v>50</v>
      </c>
      <c r="C80" s="42" t="s">
        <v>27</v>
      </c>
      <c r="D80" s="43" t="s">
        <v>51</v>
      </c>
      <c r="E80" s="37" t="s">
        <v>256</v>
      </c>
      <c r="F80" s="33" t="s">
        <v>230</v>
      </c>
      <c r="G80" s="25">
        <f>H80+I80</f>
        <v>1483700</v>
      </c>
      <c r="H80" s="25">
        <v>1483700</v>
      </c>
      <c r="I80" s="25"/>
      <c r="J80" s="25"/>
    </row>
    <row r="81" spans="1:10" s="28" customFormat="1" ht="72.75" customHeight="1" x14ac:dyDescent="0.3">
      <c r="A81" s="42" t="s">
        <v>138</v>
      </c>
      <c r="B81" s="42" t="s">
        <v>139</v>
      </c>
      <c r="C81" s="42" t="s">
        <v>45</v>
      </c>
      <c r="D81" s="43" t="s">
        <v>140</v>
      </c>
      <c r="E81" s="37" t="s">
        <v>236</v>
      </c>
      <c r="F81" s="33" t="s">
        <v>238</v>
      </c>
      <c r="G81" s="25">
        <f>H81+I81</f>
        <v>726100</v>
      </c>
      <c r="H81" s="25">
        <v>726100</v>
      </c>
      <c r="I81" s="25"/>
      <c r="J81" s="25"/>
    </row>
    <row r="82" spans="1:10" s="28" customFormat="1" ht="72.75" customHeight="1" x14ac:dyDescent="0.3">
      <c r="A82" s="42" t="s">
        <v>142</v>
      </c>
      <c r="B82" s="42" t="s">
        <v>141</v>
      </c>
      <c r="C82" s="42" t="s">
        <v>45</v>
      </c>
      <c r="D82" s="43" t="s">
        <v>143</v>
      </c>
      <c r="E82" s="37" t="s">
        <v>236</v>
      </c>
      <c r="F82" s="33" t="s">
        <v>238</v>
      </c>
      <c r="G82" s="25">
        <f t="shared" ref="G82:G83" si="11">H82+I82</f>
        <v>260000</v>
      </c>
      <c r="H82" s="25">
        <v>260000</v>
      </c>
      <c r="I82" s="25"/>
      <c r="J82" s="25"/>
    </row>
    <row r="83" spans="1:10" s="28" customFormat="1" ht="72.75" customHeight="1" x14ac:dyDescent="0.3">
      <c r="A83" s="42" t="s">
        <v>43</v>
      </c>
      <c r="B83" s="42" t="s">
        <v>44</v>
      </c>
      <c r="C83" s="42" t="s">
        <v>45</v>
      </c>
      <c r="D83" s="46" t="s">
        <v>81</v>
      </c>
      <c r="E83" s="37" t="s">
        <v>236</v>
      </c>
      <c r="F83" s="33" t="s">
        <v>238</v>
      </c>
      <c r="G83" s="25">
        <f t="shared" si="11"/>
        <v>1205200</v>
      </c>
      <c r="H83" s="25">
        <v>1205200</v>
      </c>
      <c r="I83" s="25"/>
      <c r="J83" s="25"/>
    </row>
    <row r="84" spans="1:10" s="3" customFormat="1" ht="64.5" customHeight="1" x14ac:dyDescent="0.3">
      <c r="A84" s="44" t="s">
        <v>12</v>
      </c>
      <c r="B84" s="44"/>
      <c r="C84" s="44"/>
      <c r="D84" s="45" t="s">
        <v>196</v>
      </c>
      <c r="E84" s="40"/>
      <c r="F84" s="26"/>
      <c r="G84" s="27">
        <f>G85</f>
        <v>160501285.72</v>
      </c>
      <c r="H84" s="27">
        <f t="shared" ref="H84:J84" si="12">H85</f>
        <v>143180368</v>
      </c>
      <c r="I84" s="27">
        <f t="shared" si="12"/>
        <v>17320917.719999999</v>
      </c>
      <c r="J84" s="27">
        <f t="shared" si="12"/>
        <v>16481597.5</v>
      </c>
    </row>
    <row r="85" spans="1:10" s="3" customFormat="1" ht="50.25" customHeight="1" x14ac:dyDescent="0.3">
      <c r="A85" s="44" t="s">
        <v>13</v>
      </c>
      <c r="B85" s="44"/>
      <c r="C85" s="44"/>
      <c r="D85" s="45" t="s">
        <v>196</v>
      </c>
      <c r="E85" s="40"/>
      <c r="F85" s="26"/>
      <c r="G85" s="27">
        <f>G86+G87+G88+G89+G90+G91+G92+G93+G94+G95+G96+G97+G98+G99+G100+G101+G102+G103</f>
        <v>160501285.72</v>
      </c>
      <c r="H85" s="27">
        <f t="shared" ref="H85:J85" si="13">H86+H87+H88+H89+H90+H91+H92+H93+H94+H95+H96+H97+H98+H99+H100+H101+H102+H103</f>
        <v>143180368</v>
      </c>
      <c r="I85" s="27">
        <f t="shared" si="13"/>
        <v>17320917.719999999</v>
      </c>
      <c r="J85" s="27">
        <f t="shared" si="13"/>
        <v>16481597.5</v>
      </c>
    </row>
    <row r="86" spans="1:10" s="3" customFormat="1" ht="66" customHeight="1" x14ac:dyDescent="0.3">
      <c r="A86" s="33">
        <v>1216011</v>
      </c>
      <c r="B86" s="33">
        <v>6011</v>
      </c>
      <c r="C86" s="53" t="s">
        <v>212</v>
      </c>
      <c r="D86" s="60" t="s">
        <v>206</v>
      </c>
      <c r="E86" s="52" t="s">
        <v>32</v>
      </c>
      <c r="F86" s="33" t="s">
        <v>278</v>
      </c>
      <c r="G86" s="25">
        <f t="shared" ref="G86:G92" si="14">H86+I86</f>
        <v>1321307</v>
      </c>
      <c r="H86" s="25">
        <f>200000+100000</f>
        <v>300000</v>
      </c>
      <c r="I86" s="25">
        <v>1021307</v>
      </c>
      <c r="J86" s="25">
        <v>1021307</v>
      </c>
    </row>
    <row r="87" spans="1:10" s="3" customFormat="1" ht="78" x14ac:dyDescent="0.3">
      <c r="A87" s="33">
        <v>1216011</v>
      </c>
      <c r="B87" s="33">
        <v>6011</v>
      </c>
      <c r="C87" s="53" t="s">
        <v>212</v>
      </c>
      <c r="D87" s="60" t="s">
        <v>206</v>
      </c>
      <c r="E87" s="37" t="s">
        <v>285</v>
      </c>
      <c r="F87" s="33" t="s">
        <v>286</v>
      </c>
      <c r="G87" s="25">
        <f t="shared" si="14"/>
        <v>1748959.17</v>
      </c>
      <c r="H87" s="25"/>
      <c r="I87" s="25">
        <v>1748959.17</v>
      </c>
      <c r="J87" s="25">
        <v>1748959.17</v>
      </c>
    </row>
    <row r="88" spans="1:10" s="28" customFormat="1" ht="69.599999999999994" customHeight="1" x14ac:dyDescent="0.3">
      <c r="A88" s="42" t="s">
        <v>144</v>
      </c>
      <c r="B88" s="42" t="s">
        <v>145</v>
      </c>
      <c r="C88" s="42" t="s">
        <v>20</v>
      </c>
      <c r="D88" s="67" t="s">
        <v>146</v>
      </c>
      <c r="E88" s="37" t="s">
        <v>32</v>
      </c>
      <c r="F88" s="33" t="s">
        <v>278</v>
      </c>
      <c r="G88" s="25">
        <f t="shared" si="14"/>
        <v>27800000</v>
      </c>
      <c r="H88" s="25">
        <f>21700000+5000000+1100000</f>
        <v>27800000</v>
      </c>
      <c r="I88" s="25"/>
      <c r="J88" s="25"/>
    </row>
    <row r="89" spans="1:10" s="28" customFormat="1" ht="69.599999999999994" customHeight="1" x14ac:dyDescent="0.3">
      <c r="A89" s="33">
        <v>1216013</v>
      </c>
      <c r="B89" s="33">
        <v>6013</v>
      </c>
      <c r="C89" s="33" t="s">
        <v>20</v>
      </c>
      <c r="D89" s="60" t="s">
        <v>207</v>
      </c>
      <c r="E89" s="52" t="s">
        <v>32</v>
      </c>
      <c r="F89" s="33" t="s">
        <v>278</v>
      </c>
      <c r="G89" s="25">
        <f t="shared" si="14"/>
        <v>4274561</v>
      </c>
      <c r="H89" s="25">
        <v>3975300</v>
      </c>
      <c r="I89" s="25">
        <v>299261</v>
      </c>
      <c r="J89" s="25">
        <v>299261</v>
      </c>
    </row>
    <row r="90" spans="1:10" s="28" customFormat="1" ht="50.25" customHeight="1" x14ac:dyDescent="0.3">
      <c r="A90" s="42" t="s">
        <v>147</v>
      </c>
      <c r="B90" s="42" t="s">
        <v>148</v>
      </c>
      <c r="C90" s="42" t="s">
        <v>20</v>
      </c>
      <c r="D90" s="67" t="s">
        <v>149</v>
      </c>
      <c r="E90" s="37" t="s">
        <v>55</v>
      </c>
      <c r="F90" s="33" t="s">
        <v>56</v>
      </c>
      <c r="G90" s="25">
        <f t="shared" si="14"/>
        <v>150000</v>
      </c>
      <c r="H90" s="25">
        <v>150000</v>
      </c>
      <c r="I90" s="25"/>
      <c r="J90" s="25"/>
    </row>
    <row r="91" spans="1:10" s="28" customFormat="1" ht="78" x14ac:dyDescent="0.3">
      <c r="A91" s="42" t="s">
        <v>147</v>
      </c>
      <c r="B91" s="42" t="s">
        <v>148</v>
      </c>
      <c r="C91" s="42" t="s">
        <v>20</v>
      </c>
      <c r="D91" s="67" t="s">
        <v>149</v>
      </c>
      <c r="E91" s="37" t="s">
        <v>285</v>
      </c>
      <c r="F91" s="33" t="s">
        <v>286</v>
      </c>
      <c r="G91" s="25">
        <f t="shared" si="14"/>
        <v>537261.17000000004</v>
      </c>
      <c r="H91" s="25"/>
      <c r="I91" s="25">
        <v>537261.17000000004</v>
      </c>
      <c r="J91" s="25">
        <v>537261.17000000004</v>
      </c>
    </row>
    <row r="92" spans="1:10" s="28" customFormat="1" ht="78" customHeight="1" x14ac:dyDescent="0.3">
      <c r="A92" s="42" t="s">
        <v>33</v>
      </c>
      <c r="B92" s="42" t="s">
        <v>71</v>
      </c>
      <c r="C92" s="42" t="s">
        <v>20</v>
      </c>
      <c r="D92" s="43" t="s">
        <v>72</v>
      </c>
      <c r="E92" s="52" t="s">
        <v>32</v>
      </c>
      <c r="F92" s="33" t="s">
        <v>278</v>
      </c>
      <c r="G92" s="25">
        <f t="shared" si="14"/>
        <v>840813</v>
      </c>
      <c r="H92" s="25">
        <f>859600-27000+8213</f>
        <v>840813</v>
      </c>
      <c r="I92" s="25"/>
      <c r="J92" s="25"/>
    </row>
    <row r="93" spans="1:10" s="28" customFormat="1" ht="67.5" customHeight="1" x14ac:dyDescent="0.3">
      <c r="A93" s="42" t="s">
        <v>19</v>
      </c>
      <c r="B93" s="42" t="s">
        <v>70</v>
      </c>
      <c r="C93" s="42" t="s">
        <v>20</v>
      </c>
      <c r="D93" s="46" t="s">
        <v>31</v>
      </c>
      <c r="E93" s="52" t="s">
        <v>32</v>
      </c>
      <c r="F93" s="33" t="s">
        <v>278</v>
      </c>
      <c r="G93" s="25">
        <f t="shared" ref="G93:G96" si="15">H93+I93</f>
        <v>66819677.229999997</v>
      </c>
      <c r="H93" s="25">
        <f>66501500-500000+27000-4919100-658213-230000-400000+230000</f>
        <v>60051187</v>
      </c>
      <c r="I93" s="25">
        <f>7225312.43-456822.2+230000-230000</f>
        <v>6768490.2299999995</v>
      </c>
      <c r="J93" s="25">
        <f>7225312.43-456822.2+230000-230000</f>
        <v>6768490.2299999995</v>
      </c>
    </row>
    <row r="94" spans="1:10" s="28" customFormat="1" ht="46.8" x14ac:dyDescent="0.3">
      <c r="A94" s="42" t="s">
        <v>19</v>
      </c>
      <c r="B94" s="42" t="s">
        <v>70</v>
      </c>
      <c r="C94" s="42" t="s">
        <v>20</v>
      </c>
      <c r="D94" s="46" t="s">
        <v>31</v>
      </c>
      <c r="E94" s="37" t="s">
        <v>39</v>
      </c>
      <c r="F94" s="33" t="s">
        <v>65</v>
      </c>
      <c r="G94" s="25">
        <f t="shared" si="15"/>
        <v>200000</v>
      </c>
      <c r="H94" s="25">
        <v>200000</v>
      </c>
      <c r="I94" s="25"/>
      <c r="J94" s="25"/>
    </row>
    <row r="95" spans="1:10" s="28" customFormat="1" ht="78" x14ac:dyDescent="0.3">
      <c r="A95" s="42" t="s">
        <v>19</v>
      </c>
      <c r="B95" s="42" t="s">
        <v>70</v>
      </c>
      <c r="C95" s="42" t="s">
        <v>20</v>
      </c>
      <c r="D95" s="46" t="s">
        <v>31</v>
      </c>
      <c r="E95" s="37" t="s">
        <v>285</v>
      </c>
      <c r="F95" s="33" t="s">
        <v>286</v>
      </c>
      <c r="G95" s="25">
        <f t="shared" si="15"/>
        <v>223724.31</v>
      </c>
      <c r="H95" s="25"/>
      <c r="I95" s="25">
        <v>223724.31</v>
      </c>
      <c r="J95" s="25">
        <v>223724.31</v>
      </c>
    </row>
    <row r="96" spans="1:10" s="28" customFormat="1" ht="46.8" x14ac:dyDescent="0.3">
      <c r="A96" s="53">
        <v>1217370</v>
      </c>
      <c r="B96" s="53">
        <v>7370</v>
      </c>
      <c r="C96" s="53" t="s">
        <v>21</v>
      </c>
      <c r="D96" s="60" t="s">
        <v>208</v>
      </c>
      <c r="E96" s="37" t="s">
        <v>39</v>
      </c>
      <c r="F96" s="33" t="s">
        <v>65</v>
      </c>
      <c r="G96" s="25">
        <f t="shared" si="15"/>
        <v>489000</v>
      </c>
      <c r="H96" s="25"/>
      <c r="I96" s="25">
        <v>489000</v>
      </c>
      <c r="J96" s="25">
        <v>489000</v>
      </c>
    </row>
    <row r="97" spans="1:10" s="28" customFormat="1" ht="75.75" customHeight="1" x14ac:dyDescent="0.3">
      <c r="A97" s="42" t="s">
        <v>35</v>
      </c>
      <c r="B97" s="42" t="s">
        <v>73</v>
      </c>
      <c r="C97" s="42" t="s">
        <v>34</v>
      </c>
      <c r="D97" s="43" t="s">
        <v>36</v>
      </c>
      <c r="E97" s="52" t="s">
        <v>32</v>
      </c>
      <c r="F97" s="33" t="s">
        <v>278</v>
      </c>
      <c r="G97" s="25">
        <f t="shared" ref="G97:G103" si="16">H97+I97</f>
        <v>21042900</v>
      </c>
      <c r="H97" s="25">
        <f>13305000+2818800+4919100</f>
        <v>21042900</v>
      </c>
      <c r="I97" s="25"/>
      <c r="J97" s="25"/>
    </row>
    <row r="98" spans="1:10" s="28" customFormat="1" ht="78" x14ac:dyDescent="0.3">
      <c r="A98" s="33">
        <v>1217640</v>
      </c>
      <c r="B98" s="33">
        <v>7640</v>
      </c>
      <c r="C98" s="53" t="s">
        <v>37</v>
      </c>
      <c r="D98" s="60" t="s">
        <v>38</v>
      </c>
      <c r="E98" s="37" t="s">
        <v>285</v>
      </c>
      <c r="F98" s="33" t="s">
        <v>286</v>
      </c>
      <c r="G98" s="25">
        <f t="shared" si="16"/>
        <v>24079.62</v>
      </c>
      <c r="H98" s="25"/>
      <c r="I98" s="25">
        <v>24079.62</v>
      </c>
      <c r="J98" s="25">
        <v>24079.62</v>
      </c>
    </row>
    <row r="99" spans="1:10" s="28" customFormat="1" ht="93.6" x14ac:dyDescent="0.3">
      <c r="A99" s="33">
        <v>1217691</v>
      </c>
      <c r="B99" s="33">
        <v>7691</v>
      </c>
      <c r="C99" s="53" t="s">
        <v>21</v>
      </c>
      <c r="D99" s="60" t="s">
        <v>287</v>
      </c>
      <c r="E99" s="37" t="s">
        <v>285</v>
      </c>
      <c r="F99" s="33" t="s">
        <v>286</v>
      </c>
      <c r="G99" s="25">
        <f t="shared" si="16"/>
        <v>176969.75</v>
      </c>
      <c r="H99" s="25"/>
      <c r="I99" s="25">
        <f>729312.91-552343.16</f>
        <v>176969.75</v>
      </c>
      <c r="J99" s="25"/>
    </row>
    <row r="100" spans="1:10" s="28" customFormat="1" ht="46.8" x14ac:dyDescent="0.3">
      <c r="A100" s="33">
        <v>1217693</v>
      </c>
      <c r="B100" s="42" t="s">
        <v>42</v>
      </c>
      <c r="C100" s="42" t="s">
        <v>21</v>
      </c>
      <c r="D100" s="67" t="s">
        <v>68</v>
      </c>
      <c r="E100" s="37" t="s">
        <v>215</v>
      </c>
      <c r="F100" s="33" t="s">
        <v>258</v>
      </c>
      <c r="G100" s="25">
        <f t="shared" si="16"/>
        <v>19865005</v>
      </c>
      <c r="H100" s="25">
        <f>2077600+3050000+3835500+596900+120000+342500+500000+1628000+665000+665205+6384300</f>
        <v>19865005</v>
      </c>
      <c r="I100" s="25"/>
      <c r="J100" s="25"/>
    </row>
    <row r="101" spans="1:10" s="28" customFormat="1" ht="46.8" x14ac:dyDescent="0.3">
      <c r="A101" s="33">
        <v>1218110</v>
      </c>
      <c r="B101" s="33">
        <v>8110</v>
      </c>
      <c r="C101" s="53" t="s">
        <v>244</v>
      </c>
      <c r="D101" s="60" t="s">
        <v>245</v>
      </c>
      <c r="E101" s="37" t="s">
        <v>222</v>
      </c>
      <c r="F101" s="33" t="s">
        <v>265</v>
      </c>
      <c r="G101" s="25">
        <f t="shared" si="16"/>
        <v>14199678</v>
      </c>
      <c r="H101" s="25">
        <f>200000+360000+216118+2000000+301000+1440000+100000+350000+2951440+400000+466405+45200</f>
        <v>8830163</v>
      </c>
      <c r="I101" s="25">
        <f>641400+2119520-466405+120000+2955000</f>
        <v>5369515</v>
      </c>
      <c r="J101" s="25">
        <f>641400+2119520-466405+120000+2955000</f>
        <v>5369515</v>
      </c>
    </row>
    <row r="102" spans="1:10" s="28" customFormat="1" ht="62.4" x14ac:dyDescent="0.3">
      <c r="A102" s="33">
        <v>1218240</v>
      </c>
      <c r="B102" s="33">
        <v>8240</v>
      </c>
      <c r="C102" s="42" t="s">
        <v>106</v>
      </c>
      <c r="D102" s="46" t="s">
        <v>226</v>
      </c>
      <c r="E102" s="70" t="s">
        <v>227</v>
      </c>
      <c r="F102" s="50" t="s">
        <v>257</v>
      </c>
      <c r="G102" s="25">
        <f>H102+I102</f>
        <v>125000</v>
      </c>
      <c r="H102" s="25">
        <v>125000</v>
      </c>
      <c r="I102" s="71"/>
      <c r="J102" s="71"/>
    </row>
    <row r="103" spans="1:10" s="28" customFormat="1" ht="102.75" customHeight="1" x14ac:dyDescent="0.3">
      <c r="A103" s="42" t="s">
        <v>150</v>
      </c>
      <c r="B103" s="42" t="s">
        <v>109</v>
      </c>
      <c r="C103" s="42" t="s">
        <v>110</v>
      </c>
      <c r="D103" s="46" t="s">
        <v>111</v>
      </c>
      <c r="E103" s="70" t="s">
        <v>112</v>
      </c>
      <c r="F103" s="50" t="s">
        <v>205</v>
      </c>
      <c r="G103" s="25">
        <f t="shared" si="16"/>
        <v>662350.47</v>
      </c>
      <c r="H103" s="25"/>
      <c r="I103" s="25">
        <f>1226750.47-650000+85600</f>
        <v>662350.47</v>
      </c>
      <c r="J103" s="25"/>
    </row>
    <row r="104" spans="1:10" s="3" customFormat="1" ht="64.5" customHeight="1" x14ac:dyDescent="0.3">
      <c r="A104" s="44" t="s">
        <v>209</v>
      </c>
      <c r="B104" s="44"/>
      <c r="C104" s="44"/>
      <c r="D104" s="45" t="s">
        <v>211</v>
      </c>
      <c r="E104" s="40"/>
      <c r="F104" s="26"/>
      <c r="G104" s="27">
        <f>G105</f>
        <v>56349399.880000003</v>
      </c>
      <c r="H104" s="27">
        <f t="shared" ref="H104:J104" si="17">H105</f>
        <v>2320000</v>
      </c>
      <c r="I104" s="27">
        <f t="shared" si="17"/>
        <v>54029399.880000003</v>
      </c>
      <c r="J104" s="27">
        <f t="shared" si="17"/>
        <v>52404654.390000001</v>
      </c>
    </row>
    <row r="105" spans="1:10" s="3" customFormat="1" ht="50.25" customHeight="1" x14ac:dyDescent="0.3">
      <c r="A105" s="44" t="s">
        <v>210</v>
      </c>
      <c r="B105" s="44"/>
      <c r="C105" s="44"/>
      <c r="D105" s="45" t="s">
        <v>211</v>
      </c>
      <c r="E105" s="40"/>
      <c r="F105" s="26"/>
      <c r="G105" s="27">
        <f>G106+G107+G108+G109+G110+G111+G112+G113+G114+G115</f>
        <v>56349399.880000003</v>
      </c>
      <c r="H105" s="27">
        <f t="shared" ref="H105:J105" si="18">H106+H107+H108+H109+H110+H111+H112+H113+H114+H115</f>
        <v>2320000</v>
      </c>
      <c r="I105" s="27">
        <f t="shared" si="18"/>
        <v>54029399.880000003</v>
      </c>
      <c r="J105" s="27">
        <f t="shared" si="18"/>
        <v>52404654.390000001</v>
      </c>
    </row>
    <row r="106" spans="1:10" s="28" customFormat="1" ht="46.8" x14ac:dyDescent="0.3">
      <c r="A106" s="33">
        <v>1512010</v>
      </c>
      <c r="B106" s="33">
        <v>2010</v>
      </c>
      <c r="C106" s="53" t="s">
        <v>84</v>
      </c>
      <c r="D106" s="60" t="s">
        <v>85</v>
      </c>
      <c r="E106" s="37" t="s">
        <v>86</v>
      </c>
      <c r="F106" s="33" t="s">
        <v>261</v>
      </c>
      <c r="G106" s="25">
        <f>H106+I106</f>
        <v>9641134.9100000001</v>
      </c>
      <c r="H106" s="25"/>
      <c r="I106" s="25">
        <f>8834321.16+806813.75</f>
        <v>9641134.9100000001</v>
      </c>
      <c r="J106" s="25">
        <v>8834321.1600000001</v>
      </c>
    </row>
    <row r="107" spans="1:10" s="28" customFormat="1" ht="46.8" x14ac:dyDescent="0.3">
      <c r="A107" s="33">
        <v>1516011</v>
      </c>
      <c r="B107" s="33">
        <v>6011</v>
      </c>
      <c r="C107" s="53" t="s">
        <v>212</v>
      </c>
      <c r="D107" s="60" t="s">
        <v>206</v>
      </c>
      <c r="E107" s="52" t="s">
        <v>32</v>
      </c>
      <c r="F107" s="33" t="s">
        <v>278</v>
      </c>
      <c r="G107" s="25">
        <f t="shared" ref="G107:G115" si="19">H107+I107</f>
        <v>8450377.8000000007</v>
      </c>
      <c r="H107" s="25"/>
      <c r="I107" s="25">
        <f>7050377.8+1400000</f>
        <v>8450377.8000000007</v>
      </c>
      <c r="J107" s="25">
        <f>7050377.8+1400000</f>
        <v>8450377.8000000007</v>
      </c>
    </row>
    <row r="108" spans="1:10" s="28" customFormat="1" ht="46.8" x14ac:dyDescent="0.3">
      <c r="A108" s="33">
        <v>1516013</v>
      </c>
      <c r="B108" s="33">
        <v>6013</v>
      </c>
      <c r="C108" s="53" t="s">
        <v>20</v>
      </c>
      <c r="D108" s="60" t="s">
        <v>207</v>
      </c>
      <c r="E108" s="52" t="s">
        <v>32</v>
      </c>
      <c r="F108" s="33" t="s">
        <v>278</v>
      </c>
      <c r="G108" s="25">
        <f t="shared" si="19"/>
        <v>50000</v>
      </c>
      <c r="H108" s="25"/>
      <c r="I108" s="25">
        <v>50000</v>
      </c>
      <c r="J108" s="25">
        <v>50000</v>
      </c>
    </row>
    <row r="109" spans="1:10" s="28" customFormat="1" ht="46.8" x14ac:dyDescent="0.3">
      <c r="A109" s="33">
        <v>1516015</v>
      </c>
      <c r="B109" s="33" t="s">
        <v>148</v>
      </c>
      <c r="C109" s="33" t="s">
        <v>20</v>
      </c>
      <c r="D109" s="60" t="s">
        <v>149</v>
      </c>
      <c r="E109" s="37" t="s">
        <v>55</v>
      </c>
      <c r="F109" s="33" t="s">
        <v>56</v>
      </c>
      <c r="G109" s="25">
        <f t="shared" si="19"/>
        <v>2200038.56</v>
      </c>
      <c r="H109" s="25"/>
      <c r="I109" s="25">
        <v>2200038.56</v>
      </c>
      <c r="J109" s="25">
        <v>2200038.56</v>
      </c>
    </row>
    <row r="110" spans="1:10" s="28" customFormat="1" ht="46.8" x14ac:dyDescent="0.3">
      <c r="A110" s="33">
        <v>1516030</v>
      </c>
      <c r="B110" s="33">
        <v>6030</v>
      </c>
      <c r="C110" s="33" t="s">
        <v>20</v>
      </c>
      <c r="D110" s="60" t="s">
        <v>213</v>
      </c>
      <c r="E110" s="52" t="s">
        <v>32</v>
      </c>
      <c r="F110" s="33" t="s">
        <v>278</v>
      </c>
      <c r="G110" s="25">
        <f t="shared" si="19"/>
        <v>6061951.1600000001</v>
      </c>
      <c r="H110" s="25"/>
      <c r="I110" s="25">
        <v>6061951.1600000001</v>
      </c>
      <c r="J110" s="25">
        <v>6061951.1600000001</v>
      </c>
    </row>
    <row r="111" spans="1:10" s="28" customFormat="1" ht="62.4" x14ac:dyDescent="0.3">
      <c r="A111" s="33">
        <v>1517370</v>
      </c>
      <c r="B111" s="33">
        <v>7370</v>
      </c>
      <c r="C111" s="53" t="s">
        <v>21</v>
      </c>
      <c r="D111" s="60" t="s">
        <v>208</v>
      </c>
      <c r="E111" s="52" t="s">
        <v>235</v>
      </c>
      <c r="F111" s="33" t="s">
        <v>272</v>
      </c>
      <c r="G111" s="25">
        <f t="shared" si="19"/>
        <v>7950254.8499999996</v>
      </c>
      <c r="H111" s="25">
        <v>2220000</v>
      </c>
      <c r="I111" s="25">
        <v>5730254.8499999996</v>
      </c>
      <c r="J111" s="25">
        <v>5730254.8499999996</v>
      </c>
    </row>
    <row r="112" spans="1:10" s="28" customFormat="1" ht="46.8" x14ac:dyDescent="0.3">
      <c r="A112" s="33">
        <v>1517640</v>
      </c>
      <c r="B112" s="33">
        <v>7640</v>
      </c>
      <c r="C112" s="53" t="s">
        <v>37</v>
      </c>
      <c r="D112" s="60" t="s">
        <v>38</v>
      </c>
      <c r="E112" s="37" t="s">
        <v>40</v>
      </c>
      <c r="F112" s="33" t="s">
        <v>103</v>
      </c>
      <c r="G112" s="25">
        <f t="shared" si="19"/>
        <v>1892984.86</v>
      </c>
      <c r="H112" s="25"/>
      <c r="I112" s="25">
        <v>1892984.86</v>
      </c>
      <c r="J112" s="25">
        <v>1892984.86</v>
      </c>
    </row>
    <row r="113" spans="1:10" s="28" customFormat="1" ht="46.8" x14ac:dyDescent="0.3">
      <c r="A113" s="33">
        <v>1518110</v>
      </c>
      <c r="B113" s="33">
        <v>8110</v>
      </c>
      <c r="C113" s="53" t="s">
        <v>244</v>
      </c>
      <c r="D113" s="60" t="s">
        <v>245</v>
      </c>
      <c r="E113" s="37" t="s">
        <v>222</v>
      </c>
      <c r="F113" s="33" t="s">
        <v>265</v>
      </c>
      <c r="G113" s="25">
        <f t="shared" si="19"/>
        <v>19284726</v>
      </c>
      <c r="H113" s="25">
        <v>100000</v>
      </c>
      <c r="I113" s="25">
        <f>1000000-650000+3200000+5257958+300000+3066795+957500+6052473</f>
        <v>19184726</v>
      </c>
      <c r="J113" s="25">
        <f>1000000-650000+3200000+5257958+300000+3066795+957500+6052473</f>
        <v>19184726</v>
      </c>
    </row>
    <row r="114" spans="1:10" s="28" customFormat="1" ht="78" x14ac:dyDescent="0.3">
      <c r="A114" s="33">
        <v>1518311</v>
      </c>
      <c r="B114" s="33">
        <v>8311</v>
      </c>
      <c r="C114" s="53" t="s">
        <v>280</v>
      </c>
      <c r="D114" s="60" t="s">
        <v>281</v>
      </c>
      <c r="E114" s="70" t="s">
        <v>112</v>
      </c>
      <c r="F114" s="50" t="s">
        <v>205</v>
      </c>
      <c r="G114" s="25">
        <f t="shared" si="19"/>
        <v>615345</v>
      </c>
      <c r="H114" s="25"/>
      <c r="I114" s="25">
        <v>615345</v>
      </c>
      <c r="J114" s="25"/>
    </row>
    <row r="115" spans="1:10" s="28" customFormat="1" ht="78" x14ac:dyDescent="0.3">
      <c r="A115" s="42" t="s">
        <v>214</v>
      </c>
      <c r="B115" s="42" t="s">
        <v>109</v>
      </c>
      <c r="C115" s="42" t="s">
        <v>110</v>
      </c>
      <c r="D115" s="46" t="s">
        <v>111</v>
      </c>
      <c r="E115" s="70" t="s">
        <v>112</v>
      </c>
      <c r="F115" s="50" t="s">
        <v>205</v>
      </c>
      <c r="G115" s="25">
        <f t="shared" si="19"/>
        <v>202586.74</v>
      </c>
      <c r="H115" s="25"/>
      <c r="I115" s="25">
        <v>202586.74</v>
      </c>
      <c r="J115" s="25"/>
    </row>
    <row r="116" spans="1:10" s="3" customFormat="1" ht="46.8" x14ac:dyDescent="0.3">
      <c r="A116" s="44" t="s">
        <v>46</v>
      </c>
      <c r="B116" s="44"/>
      <c r="C116" s="44"/>
      <c r="D116" s="45" t="s">
        <v>197</v>
      </c>
      <c r="E116" s="40"/>
      <c r="F116" s="26"/>
      <c r="G116" s="27">
        <f>G117</f>
        <v>13775667.539999999</v>
      </c>
      <c r="H116" s="27">
        <f t="shared" ref="H116" si="20">H117</f>
        <v>13775667.539999999</v>
      </c>
      <c r="I116" s="27"/>
      <c r="J116" s="27"/>
    </row>
    <row r="117" spans="1:10" s="3" customFormat="1" ht="46.8" x14ac:dyDescent="0.3">
      <c r="A117" s="44" t="s">
        <v>47</v>
      </c>
      <c r="B117" s="44"/>
      <c r="C117" s="44"/>
      <c r="D117" s="45" t="s">
        <v>197</v>
      </c>
      <c r="E117" s="40"/>
      <c r="F117" s="26"/>
      <c r="G117" s="27">
        <f>G118+G119+G120+G121</f>
        <v>13775667.539999999</v>
      </c>
      <c r="H117" s="27">
        <f>H118+H119+H120+H121</f>
        <v>13775667.539999999</v>
      </c>
      <c r="I117" s="27"/>
      <c r="J117" s="27"/>
    </row>
    <row r="118" spans="1:10" s="28" customFormat="1" ht="58.5" customHeight="1" x14ac:dyDescent="0.3">
      <c r="A118" s="42" t="s">
        <v>48</v>
      </c>
      <c r="B118" s="42" t="s">
        <v>42</v>
      </c>
      <c r="C118" s="42" t="s">
        <v>21</v>
      </c>
      <c r="D118" s="67" t="s">
        <v>68</v>
      </c>
      <c r="E118" s="37" t="s">
        <v>236</v>
      </c>
      <c r="F118" s="33" t="s">
        <v>237</v>
      </c>
      <c r="G118" s="25">
        <f t="shared" si="5"/>
        <v>12094000</v>
      </c>
      <c r="H118" s="25">
        <f>12739700-645700</f>
        <v>12094000</v>
      </c>
      <c r="I118" s="25"/>
      <c r="J118" s="25"/>
    </row>
    <row r="119" spans="1:10" s="28" customFormat="1" ht="46.8" x14ac:dyDescent="0.3">
      <c r="A119" s="42" t="s">
        <v>48</v>
      </c>
      <c r="B119" s="42" t="s">
        <v>42</v>
      </c>
      <c r="C119" s="42" t="s">
        <v>21</v>
      </c>
      <c r="D119" s="67" t="s">
        <v>68</v>
      </c>
      <c r="E119" s="37" t="s">
        <v>215</v>
      </c>
      <c r="F119" s="33" t="s">
        <v>234</v>
      </c>
      <c r="G119" s="25">
        <f t="shared" si="5"/>
        <v>1383667.54</v>
      </c>
      <c r="H119" s="25">
        <f>188000+140000+548978+328000-4979.46+183669</f>
        <v>1383667.54</v>
      </c>
      <c r="I119" s="25"/>
      <c r="J119" s="25"/>
    </row>
    <row r="120" spans="1:10" s="28" customFormat="1" ht="46.8" x14ac:dyDescent="0.3">
      <c r="A120" s="42" t="s">
        <v>288</v>
      </c>
      <c r="B120" s="42" t="s">
        <v>289</v>
      </c>
      <c r="C120" s="53" t="s">
        <v>244</v>
      </c>
      <c r="D120" s="60" t="s">
        <v>245</v>
      </c>
      <c r="E120" s="37" t="s">
        <v>222</v>
      </c>
      <c r="F120" s="33" t="s">
        <v>265</v>
      </c>
      <c r="G120" s="25">
        <f t="shared" si="5"/>
        <v>198000</v>
      </c>
      <c r="H120" s="25">
        <v>198000</v>
      </c>
      <c r="I120" s="25"/>
      <c r="J120" s="25"/>
    </row>
    <row r="121" spans="1:10" s="28" customFormat="1" ht="62.4" x14ac:dyDescent="0.3">
      <c r="A121" s="42" t="s">
        <v>246</v>
      </c>
      <c r="B121" s="42" t="s">
        <v>225</v>
      </c>
      <c r="C121" s="42" t="s">
        <v>106</v>
      </c>
      <c r="D121" s="46" t="s">
        <v>226</v>
      </c>
      <c r="E121" s="70" t="s">
        <v>227</v>
      </c>
      <c r="F121" s="50" t="s">
        <v>257</v>
      </c>
      <c r="G121" s="25">
        <f t="shared" si="5"/>
        <v>100000</v>
      </c>
      <c r="H121" s="25">
        <v>100000</v>
      </c>
      <c r="I121" s="25"/>
      <c r="J121" s="25"/>
    </row>
    <row r="122" spans="1:10" s="3" customFormat="1" ht="31.2" x14ac:dyDescent="0.3">
      <c r="A122" s="44" t="s">
        <v>216</v>
      </c>
      <c r="B122" s="44"/>
      <c r="C122" s="44"/>
      <c r="D122" s="45" t="s">
        <v>218</v>
      </c>
      <c r="E122" s="40"/>
      <c r="F122" s="26"/>
      <c r="G122" s="27">
        <f>G123</f>
        <v>13422679</v>
      </c>
      <c r="H122" s="27">
        <f t="shared" ref="H122:J122" si="21">H123</f>
        <v>8701321</v>
      </c>
      <c r="I122" s="27">
        <f t="shared" si="21"/>
        <v>4721358</v>
      </c>
      <c r="J122" s="27">
        <f t="shared" si="21"/>
        <v>4721358</v>
      </c>
    </row>
    <row r="123" spans="1:10" s="3" customFormat="1" ht="31.2" x14ac:dyDescent="0.3">
      <c r="A123" s="44" t="s">
        <v>217</v>
      </c>
      <c r="B123" s="44"/>
      <c r="C123" s="44"/>
      <c r="D123" s="45" t="s">
        <v>218</v>
      </c>
      <c r="E123" s="40"/>
      <c r="F123" s="26"/>
      <c r="G123" s="27">
        <f>G124+G125+G126+G127+G128</f>
        <v>13422679</v>
      </c>
      <c r="H123" s="27">
        <f t="shared" ref="H123:J123" si="22">H124+H125+H126+H127+H128</f>
        <v>8701321</v>
      </c>
      <c r="I123" s="27">
        <f t="shared" si="22"/>
        <v>4721358</v>
      </c>
      <c r="J123" s="27">
        <f t="shared" si="22"/>
        <v>4721358</v>
      </c>
    </row>
    <row r="124" spans="1:10" s="28" customFormat="1" ht="85.2" customHeight="1" x14ac:dyDescent="0.3">
      <c r="A124" s="33">
        <v>3719770</v>
      </c>
      <c r="B124" s="62">
        <v>9770</v>
      </c>
      <c r="C124" s="53" t="s">
        <v>170</v>
      </c>
      <c r="D124" s="61" t="s">
        <v>219</v>
      </c>
      <c r="E124" s="37" t="s">
        <v>220</v>
      </c>
      <c r="F124" s="33" t="s">
        <v>259</v>
      </c>
      <c r="G124" s="25">
        <f>H124+I124</f>
        <v>1540000</v>
      </c>
      <c r="H124" s="25">
        <f>990000+550000</f>
        <v>1540000</v>
      </c>
      <c r="I124" s="25"/>
      <c r="J124" s="25"/>
    </row>
    <row r="125" spans="1:10" s="28" customFormat="1" ht="46.8" x14ac:dyDescent="0.3">
      <c r="A125" s="33">
        <v>3719800</v>
      </c>
      <c r="B125" s="33">
        <v>9800</v>
      </c>
      <c r="C125" s="53" t="s">
        <v>170</v>
      </c>
      <c r="D125" s="60" t="s">
        <v>221</v>
      </c>
      <c r="E125" s="37" t="s">
        <v>222</v>
      </c>
      <c r="F125" s="33" t="s">
        <v>265</v>
      </c>
      <c r="G125" s="25">
        <f>H125+I125</f>
        <v>3208000</v>
      </c>
      <c r="H125" s="25">
        <v>772000</v>
      </c>
      <c r="I125" s="25">
        <f>228000+2208000</f>
        <v>2436000</v>
      </c>
      <c r="J125" s="25">
        <f>228000+2208000</f>
        <v>2436000</v>
      </c>
    </row>
    <row r="126" spans="1:10" s="28" customFormat="1" ht="46.8" x14ac:dyDescent="0.3">
      <c r="A126" s="33">
        <v>3719800</v>
      </c>
      <c r="B126" s="33">
        <v>9800</v>
      </c>
      <c r="C126" s="53" t="s">
        <v>170</v>
      </c>
      <c r="D126" s="60" t="s">
        <v>221</v>
      </c>
      <c r="E126" s="70" t="s">
        <v>41</v>
      </c>
      <c r="F126" s="50" t="s">
        <v>266</v>
      </c>
      <c r="G126" s="25">
        <f>H126+I126</f>
        <v>800000</v>
      </c>
      <c r="H126" s="25">
        <f>200000+200000+200000+200000</f>
        <v>800000</v>
      </c>
      <c r="I126" s="25"/>
      <c r="J126" s="25"/>
    </row>
    <row r="127" spans="1:10" s="28" customFormat="1" ht="62.4" x14ac:dyDescent="0.3">
      <c r="A127" s="33">
        <v>3719800</v>
      </c>
      <c r="B127" s="33">
        <v>9800</v>
      </c>
      <c r="C127" s="53" t="s">
        <v>170</v>
      </c>
      <c r="D127" s="60" t="s">
        <v>221</v>
      </c>
      <c r="E127" s="52" t="s">
        <v>227</v>
      </c>
      <c r="F127" s="50" t="s">
        <v>257</v>
      </c>
      <c r="G127" s="25">
        <f>H127+I127</f>
        <v>5874679</v>
      </c>
      <c r="H127" s="25">
        <f>187321+910000+92000+1400000+1000000</f>
        <v>3589321</v>
      </c>
      <c r="I127" s="25">
        <f>1312679+250000+722679</f>
        <v>2285358</v>
      </c>
      <c r="J127" s="25">
        <f>1312679+250000+722679</f>
        <v>2285358</v>
      </c>
    </row>
    <row r="128" spans="1:10" s="28" customFormat="1" ht="93.6" x14ac:dyDescent="0.3">
      <c r="A128" s="33">
        <v>3719800</v>
      </c>
      <c r="B128" s="33">
        <v>9800</v>
      </c>
      <c r="C128" s="53" t="s">
        <v>170</v>
      </c>
      <c r="D128" s="60" t="s">
        <v>221</v>
      </c>
      <c r="E128" s="60" t="s">
        <v>279</v>
      </c>
      <c r="F128" s="50" t="s">
        <v>284</v>
      </c>
      <c r="G128" s="25">
        <f>H128+I128</f>
        <v>2000000</v>
      </c>
      <c r="H128" s="25">
        <v>2000000</v>
      </c>
      <c r="I128" s="25"/>
      <c r="J128" s="25"/>
    </row>
    <row r="129" spans="1:11" s="3" customFormat="1" ht="27" customHeight="1" x14ac:dyDescent="0.3">
      <c r="A129" s="26"/>
      <c r="B129" s="26"/>
      <c r="C129" s="26"/>
      <c r="D129" s="47" t="s">
        <v>59</v>
      </c>
      <c r="E129" s="40"/>
      <c r="F129" s="26"/>
      <c r="G129" s="27">
        <f>G20+G36+G52+G69+G78+G84+G104+G116+G122</f>
        <v>375747168.14000005</v>
      </c>
      <c r="H129" s="27">
        <f>H20+H36+H52+H69+H78+H84+H104+H116+H122</f>
        <v>296325292.54000002</v>
      </c>
      <c r="I129" s="27">
        <f>I20+I36+I52+I69+I78+I84+I104+I116+I122</f>
        <v>79421875.599999994</v>
      </c>
      <c r="J129" s="27">
        <f>J20+J36+J52+J69+J78+J84+J104+J116+J122</f>
        <v>76402309.890000001</v>
      </c>
    </row>
    <row r="130" spans="1:11" s="28" customFormat="1" ht="46.8" x14ac:dyDescent="0.3">
      <c r="A130" s="48">
        <v>1</v>
      </c>
      <c r="B130" s="48"/>
      <c r="C130" s="48"/>
      <c r="D130" s="49"/>
      <c r="E130" s="37" t="s">
        <v>29</v>
      </c>
      <c r="F130" s="33" t="s">
        <v>273</v>
      </c>
      <c r="G130" s="25">
        <f>G47</f>
        <v>338200</v>
      </c>
      <c r="H130" s="25">
        <f>H47</f>
        <v>338200</v>
      </c>
      <c r="I130" s="25"/>
      <c r="J130" s="25"/>
    </row>
    <row r="131" spans="1:11" s="28" customFormat="1" ht="46.8" x14ac:dyDescent="0.3">
      <c r="A131" s="48">
        <v>2</v>
      </c>
      <c r="B131" s="48"/>
      <c r="C131" s="48"/>
      <c r="D131" s="49"/>
      <c r="E131" s="37" t="s">
        <v>39</v>
      </c>
      <c r="F131" s="33" t="s">
        <v>65</v>
      </c>
      <c r="G131" s="25">
        <f>G94+G96</f>
        <v>689000</v>
      </c>
      <c r="H131" s="25">
        <f>H94+H96</f>
        <v>200000</v>
      </c>
      <c r="I131" s="25">
        <f>I94+I96</f>
        <v>489000</v>
      </c>
      <c r="J131" s="25">
        <f>J94+J96</f>
        <v>489000</v>
      </c>
    </row>
    <row r="132" spans="1:11" s="28" customFormat="1" ht="31.2" x14ac:dyDescent="0.3">
      <c r="A132" s="48">
        <v>3</v>
      </c>
      <c r="B132" s="48"/>
      <c r="C132" s="48"/>
      <c r="D132" s="49"/>
      <c r="E132" s="37" t="s">
        <v>28</v>
      </c>
      <c r="F132" s="33" t="s">
        <v>66</v>
      </c>
      <c r="G132" s="25">
        <f>G44+G50</f>
        <v>5400</v>
      </c>
      <c r="H132" s="25">
        <f>H44+H50</f>
        <v>5400</v>
      </c>
      <c r="I132" s="25"/>
      <c r="J132" s="25"/>
    </row>
    <row r="133" spans="1:11" s="28" customFormat="1" ht="46.8" x14ac:dyDescent="0.3">
      <c r="A133" s="48">
        <v>4</v>
      </c>
      <c r="B133" s="48"/>
      <c r="C133" s="48"/>
      <c r="D133" s="49"/>
      <c r="E133" s="37" t="s">
        <v>32</v>
      </c>
      <c r="F133" s="33" t="s">
        <v>278</v>
      </c>
      <c r="G133" s="25">
        <f>G86+G88+G89+G92+G93+G97+G107+G108+G110</f>
        <v>136661587.19</v>
      </c>
      <c r="H133" s="25">
        <f t="shared" ref="H133:J133" si="23">H86+H88+H89+H92+H93+H97+H107+H108+H110</f>
        <v>114010200</v>
      </c>
      <c r="I133" s="25">
        <f t="shared" si="23"/>
        <v>22651387.190000001</v>
      </c>
      <c r="J133" s="25">
        <f t="shared" si="23"/>
        <v>22651387.190000001</v>
      </c>
    </row>
    <row r="134" spans="1:11" s="28" customFormat="1" ht="46.8" x14ac:dyDescent="0.3">
      <c r="A134" s="48">
        <v>5</v>
      </c>
      <c r="B134" s="48"/>
      <c r="C134" s="48"/>
      <c r="D134" s="49"/>
      <c r="E134" s="37" t="s">
        <v>40</v>
      </c>
      <c r="F134" s="33" t="s">
        <v>67</v>
      </c>
      <c r="G134" s="25">
        <f>G29+G38+G41+G112</f>
        <v>2267984.8600000003</v>
      </c>
      <c r="H134" s="25">
        <f t="shared" ref="H134:J134" si="24">H29+H38+H41+H112</f>
        <v>375000</v>
      </c>
      <c r="I134" s="25">
        <f t="shared" si="24"/>
        <v>1892984.86</v>
      </c>
      <c r="J134" s="25">
        <f t="shared" si="24"/>
        <v>1892984.86</v>
      </c>
    </row>
    <row r="135" spans="1:11" s="28" customFormat="1" ht="46.8" x14ac:dyDescent="0.3">
      <c r="A135" s="48">
        <v>6</v>
      </c>
      <c r="B135" s="48"/>
      <c r="C135" s="48"/>
      <c r="D135" s="49"/>
      <c r="E135" s="37" t="s">
        <v>41</v>
      </c>
      <c r="F135" s="33" t="s">
        <v>266</v>
      </c>
      <c r="G135" s="25">
        <f>G32+G126</f>
        <v>2249800</v>
      </c>
      <c r="H135" s="25">
        <f>H32+H126</f>
        <v>2249800</v>
      </c>
      <c r="I135" s="25"/>
      <c r="J135" s="25"/>
    </row>
    <row r="136" spans="1:11" s="28" customFormat="1" ht="46.8" x14ac:dyDescent="0.3">
      <c r="A136" s="48">
        <v>7</v>
      </c>
      <c r="B136" s="48"/>
      <c r="C136" s="48"/>
      <c r="D136" s="49"/>
      <c r="E136" s="37" t="s">
        <v>55</v>
      </c>
      <c r="F136" s="33" t="s">
        <v>274</v>
      </c>
      <c r="G136" s="25">
        <f>G90+G109</f>
        <v>2350038.56</v>
      </c>
      <c r="H136" s="25">
        <f>H90+H109</f>
        <v>150000</v>
      </c>
      <c r="I136" s="25">
        <f>I90+I109</f>
        <v>2200038.56</v>
      </c>
      <c r="J136" s="25">
        <f>J90+J109</f>
        <v>2200038.56</v>
      </c>
    </row>
    <row r="137" spans="1:11" s="28" customFormat="1" ht="78" x14ac:dyDescent="0.3">
      <c r="A137" s="48">
        <v>8</v>
      </c>
      <c r="B137" s="48"/>
      <c r="C137" s="48"/>
      <c r="D137" s="49"/>
      <c r="E137" s="37" t="s">
        <v>285</v>
      </c>
      <c r="F137" s="33" t="s">
        <v>286</v>
      </c>
      <c r="G137" s="25">
        <f>G87+G91+G95+G98+G99</f>
        <v>2710994.02</v>
      </c>
      <c r="H137" s="25"/>
      <c r="I137" s="25">
        <f t="shared" ref="I137:J137" si="25">I87+I91+I95+I98+I99</f>
        <v>2710994.02</v>
      </c>
      <c r="J137" s="25">
        <f t="shared" si="25"/>
        <v>2534024.27</v>
      </c>
    </row>
    <row r="138" spans="1:11" s="28" customFormat="1" ht="62.4" x14ac:dyDescent="0.3">
      <c r="A138" s="48">
        <v>9</v>
      </c>
      <c r="B138" s="48"/>
      <c r="C138" s="48"/>
      <c r="D138" s="49"/>
      <c r="E138" s="37" t="s">
        <v>117</v>
      </c>
      <c r="F138" s="33" t="s">
        <v>275</v>
      </c>
      <c r="G138" s="25">
        <f>G39+G55+G66</f>
        <v>4730100</v>
      </c>
      <c r="H138" s="25">
        <f>H39+H55+H66</f>
        <v>4730100</v>
      </c>
      <c r="I138" s="25"/>
      <c r="J138" s="25"/>
    </row>
    <row r="139" spans="1:11" s="28" customFormat="1" ht="46.8" x14ac:dyDescent="0.3">
      <c r="A139" s="48">
        <v>10</v>
      </c>
      <c r="B139" s="48"/>
      <c r="C139" s="48"/>
      <c r="D139" s="49"/>
      <c r="E139" s="37" t="s">
        <v>98</v>
      </c>
      <c r="F139" s="33" t="s">
        <v>263</v>
      </c>
      <c r="G139" s="25">
        <f>G27+G28+G46+G49+G54+G56+G58+G59+G61+G62+G63+G64+G65</f>
        <v>41751460</v>
      </c>
      <c r="H139" s="25">
        <f>H27+H28+H46+H49+H54+H56+H58+H59+H61+H62+H63+H64+H65</f>
        <v>41751460</v>
      </c>
      <c r="I139" s="25"/>
      <c r="J139" s="25"/>
      <c r="K139" s="31"/>
    </row>
    <row r="140" spans="1:11" s="28" customFormat="1" ht="46.8" x14ac:dyDescent="0.3">
      <c r="A140" s="48">
        <v>11</v>
      </c>
      <c r="B140" s="48"/>
      <c r="C140" s="48"/>
      <c r="D140" s="49"/>
      <c r="E140" s="37" t="s">
        <v>86</v>
      </c>
      <c r="F140" s="33" t="s">
        <v>261</v>
      </c>
      <c r="G140" s="25">
        <f>G22+G24+G25+G26+G67+G106</f>
        <v>50894566.230000004</v>
      </c>
      <c r="H140" s="25">
        <f>H22+H24+H25+H26+H67+H106</f>
        <v>41253431.32</v>
      </c>
      <c r="I140" s="25">
        <f>I22+I24+I25+I26+I67+I106</f>
        <v>9641134.9100000001</v>
      </c>
      <c r="J140" s="25">
        <f>J22+J24+J25+J26+J67+J106</f>
        <v>8834321.1600000001</v>
      </c>
      <c r="K140" s="31"/>
    </row>
    <row r="141" spans="1:11" s="28" customFormat="1" ht="46.8" x14ac:dyDescent="0.3">
      <c r="A141" s="48">
        <v>12</v>
      </c>
      <c r="B141" s="48"/>
      <c r="C141" s="48"/>
      <c r="D141" s="49"/>
      <c r="E141" s="37" t="s">
        <v>151</v>
      </c>
      <c r="F141" s="33" t="s">
        <v>267</v>
      </c>
      <c r="G141" s="25">
        <f>G40+G43+G48</f>
        <v>4666273</v>
      </c>
      <c r="H141" s="25">
        <f>H40+H43+H48</f>
        <v>3258873</v>
      </c>
      <c r="I141" s="25">
        <f>I40+I43+I48</f>
        <v>1407400</v>
      </c>
      <c r="J141" s="25">
        <f>J40+J43+J48</f>
        <v>1407400</v>
      </c>
      <c r="K141" s="31"/>
    </row>
    <row r="142" spans="1:11" s="28" customFormat="1" ht="46.8" x14ac:dyDescent="0.3">
      <c r="A142" s="48">
        <v>13</v>
      </c>
      <c r="B142" s="48"/>
      <c r="C142" s="48"/>
      <c r="D142" s="49"/>
      <c r="E142" s="37" t="s">
        <v>239</v>
      </c>
      <c r="F142" s="33" t="s">
        <v>265</v>
      </c>
      <c r="G142" s="25">
        <f>G125+G101+G45+G30+G68+G77+G113+G51+G120</f>
        <v>55621842.68</v>
      </c>
      <c r="H142" s="25">
        <f t="shared" ref="H142:J142" si="26">H125+H101+H45+H30+H68+H77+H113+H51+H120</f>
        <v>28044301.68</v>
      </c>
      <c r="I142" s="25">
        <f t="shared" si="26"/>
        <v>27577541</v>
      </c>
      <c r="J142" s="25">
        <f t="shared" si="26"/>
        <v>27577541</v>
      </c>
      <c r="K142" s="31"/>
    </row>
    <row r="143" spans="1:11" s="28" customFormat="1" ht="140.4" x14ac:dyDescent="0.3">
      <c r="A143" s="48">
        <v>14</v>
      </c>
      <c r="B143" s="48"/>
      <c r="C143" s="48"/>
      <c r="D143" s="49"/>
      <c r="E143" s="70" t="s">
        <v>250</v>
      </c>
      <c r="F143" s="33" t="s">
        <v>276</v>
      </c>
      <c r="G143" s="25">
        <f>G31</f>
        <v>1085000</v>
      </c>
      <c r="H143" s="25">
        <f>H31</f>
        <v>785000</v>
      </c>
      <c r="I143" s="25">
        <f>I31</f>
        <v>300000</v>
      </c>
      <c r="J143" s="25">
        <f>J31</f>
        <v>300000</v>
      </c>
      <c r="K143" s="31"/>
    </row>
    <row r="144" spans="1:11" s="28" customFormat="1" ht="62.4" x14ac:dyDescent="0.3">
      <c r="A144" s="48">
        <v>15</v>
      </c>
      <c r="B144" s="48"/>
      <c r="C144" s="48"/>
      <c r="D144" s="49"/>
      <c r="E144" s="52" t="s">
        <v>235</v>
      </c>
      <c r="F144" s="33" t="s">
        <v>272</v>
      </c>
      <c r="G144" s="25">
        <f>G111</f>
        <v>7950254.8499999996</v>
      </c>
      <c r="H144" s="25">
        <f t="shared" ref="H144:J144" si="27">H111</f>
        <v>2220000</v>
      </c>
      <c r="I144" s="25">
        <f t="shared" si="27"/>
        <v>5730254.8499999996</v>
      </c>
      <c r="J144" s="25">
        <f t="shared" si="27"/>
        <v>5730254.8499999996</v>
      </c>
      <c r="K144" s="31"/>
    </row>
    <row r="145" spans="1:11" s="28" customFormat="1" ht="78" x14ac:dyDescent="0.3">
      <c r="A145" s="48">
        <v>16</v>
      </c>
      <c r="B145" s="48"/>
      <c r="C145" s="48"/>
      <c r="D145" s="49"/>
      <c r="E145" s="70" t="s">
        <v>112</v>
      </c>
      <c r="F145" s="50" t="s">
        <v>205</v>
      </c>
      <c r="G145" s="25">
        <f>G35+G103+G114+G115</f>
        <v>1785782.21</v>
      </c>
      <c r="H145" s="25"/>
      <c r="I145" s="25">
        <f>I35+I103+I114+I115</f>
        <v>1785782.21</v>
      </c>
      <c r="J145" s="25"/>
      <c r="K145" s="31"/>
    </row>
    <row r="146" spans="1:11" s="28" customFormat="1" ht="93.6" x14ac:dyDescent="0.3">
      <c r="A146" s="48">
        <v>17</v>
      </c>
      <c r="B146" s="48"/>
      <c r="C146" s="48"/>
      <c r="D146" s="49"/>
      <c r="E146" s="52" t="s">
        <v>220</v>
      </c>
      <c r="F146" s="33" t="s">
        <v>259</v>
      </c>
      <c r="G146" s="25">
        <f>G124</f>
        <v>1540000</v>
      </c>
      <c r="H146" s="25">
        <f>H124</f>
        <v>1540000</v>
      </c>
      <c r="I146" s="25"/>
      <c r="J146" s="25"/>
      <c r="K146" s="31"/>
    </row>
    <row r="147" spans="1:11" s="28" customFormat="1" ht="46.8" x14ac:dyDescent="0.3">
      <c r="A147" s="48">
        <v>18</v>
      </c>
      <c r="B147" s="48"/>
      <c r="C147" s="48"/>
      <c r="D147" s="49"/>
      <c r="E147" s="70" t="s">
        <v>231</v>
      </c>
      <c r="F147" s="33" t="s">
        <v>233</v>
      </c>
      <c r="G147" s="25">
        <f>G42</f>
        <v>198000</v>
      </c>
      <c r="H147" s="25">
        <f>H42</f>
        <v>198000</v>
      </c>
      <c r="I147" s="25"/>
      <c r="J147" s="25"/>
      <c r="K147" s="31"/>
    </row>
    <row r="148" spans="1:11" s="28" customFormat="1" ht="46.8" x14ac:dyDescent="0.3">
      <c r="A148" s="48">
        <v>19</v>
      </c>
      <c r="B148" s="48"/>
      <c r="C148" s="48"/>
      <c r="D148" s="49"/>
      <c r="E148" s="52" t="s">
        <v>215</v>
      </c>
      <c r="F148" s="33" t="s">
        <v>258</v>
      </c>
      <c r="G148" s="25">
        <f>G119+G100</f>
        <v>21248672.539999999</v>
      </c>
      <c r="H148" s="25">
        <f>H119+H100</f>
        <v>21248672.539999999</v>
      </c>
      <c r="I148" s="25"/>
      <c r="J148" s="25"/>
      <c r="K148" s="31"/>
    </row>
    <row r="149" spans="1:11" s="28" customFormat="1" ht="46.8" x14ac:dyDescent="0.3">
      <c r="A149" s="48">
        <v>20</v>
      </c>
      <c r="B149" s="48"/>
      <c r="C149" s="48"/>
      <c r="D149" s="49"/>
      <c r="E149" s="52" t="s">
        <v>195</v>
      </c>
      <c r="F149" s="57" t="s">
        <v>229</v>
      </c>
      <c r="G149" s="25">
        <f>G71+G72+G73+G74+G75+G76</f>
        <v>2557959</v>
      </c>
      <c r="H149" s="25">
        <f>H71+H72+H73+H74+H75+H76</f>
        <v>2307959</v>
      </c>
      <c r="I149" s="25">
        <f>I71+I72+I73+I74+I75+I76</f>
        <v>250000</v>
      </c>
      <c r="J149" s="25"/>
      <c r="K149" s="31"/>
    </row>
    <row r="150" spans="1:11" s="28" customFormat="1" ht="49.5" customHeight="1" x14ac:dyDescent="0.3">
      <c r="A150" s="48">
        <v>21</v>
      </c>
      <c r="B150" s="48"/>
      <c r="C150" s="48"/>
      <c r="D150" s="49"/>
      <c r="E150" s="37" t="s">
        <v>256</v>
      </c>
      <c r="F150" s="33" t="s">
        <v>230</v>
      </c>
      <c r="G150" s="25">
        <f>G57+G80</f>
        <v>1635900</v>
      </c>
      <c r="H150" s="25">
        <f>H57+H80</f>
        <v>1635900</v>
      </c>
      <c r="I150" s="25"/>
      <c r="J150" s="25"/>
    </row>
    <row r="151" spans="1:11" s="28" customFormat="1" ht="49.5" customHeight="1" x14ac:dyDescent="0.3">
      <c r="A151" s="48">
        <v>22</v>
      </c>
      <c r="B151" s="48"/>
      <c r="C151" s="48"/>
      <c r="D151" s="49"/>
      <c r="E151" s="37" t="s">
        <v>236</v>
      </c>
      <c r="F151" s="33" t="s">
        <v>237</v>
      </c>
      <c r="G151" s="25">
        <f>G81+G82+G83+G118</f>
        <v>14285300</v>
      </c>
      <c r="H151" s="25">
        <f>H81+H82+H83+H118</f>
        <v>14285300</v>
      </c>
      <c r="I151" s="25"/>
      <c r="J151" s="25"/>
    </row>
    <row r="152" spans="1:11" s="28" customFormat="1" ht="62.4" x14ac:dyDescent="0.3">
      <c r="A152" s="48">
        <v>23</v>
      </c>
      <c r="B152" s="48"/>
      <c r="C152" s="48"/>
      <c r="D152" s="49"/>
      <c r="E152" s="52" t="s">
        <v>227</v>
      </c>
      <c r="F152" s="50" t="s">
        <v>257</v>
      </c>
      <c r="G152" s="25">
        <f>G23+G33+G34+G102+G121+G127</f>
        <v>16523053</v>
      </c>
      <c r="H152" s="25">
        <f t="shared" ref="H152:J152" si="28">H23+H33+H34+H102+H121+H127</f>
        <v>13737695</v>
      </c>
      <c r="I152" s="25">
        <f t="shared" si="28"/>
        <v>2785358</v>
      </c>
      <c r="J152" s="25">
        <f t="shared" si="28"/>
        <v>2785358</v>
      </c>
      <c r="K152" s="31"/>
    </row>
    <row r="153" spans="1:11" s="28" customFormat="1" ht="93.6" x14ac:dyDescent="0.3">
      <c r="A153" s="48">
        <v>24</v>
      </c>
      <c r="B153" s="48"/>
      <c r="C153" s="48"/>
      <c r="D153" s="49"/>
      <c r="E153" s="60" t="s">
        <v>279</v>
      </c>
      <c r="F153" s="50" t="s">
        <v>284</v>
      </c>
      <c r="G153" s="25">
        <f>G128</f>
        <v>2000000</v>
      </c>
      <c r="H153" s="25">
        <f t="shared" ref="H153:J153" si="29">H128</f>
        <v>2000000</v>
      </c>
      <c r="I153" s="25">
        <f t="shared" si="29"/>
        <v>0</v>
      </c>
      <c r="J153" s="25">
        <f t="shared" si="29"/>
        <v>0</v>
      </c>
      <c r="K153" s="31"/>
    </row>
    <row r="154" spans="1:11" s="28" customFormat="1" ht="15.6" x14ac:dyDescent="0.3">
      <c r="A154" s="63"/>
      <c r="B154" s="63"/>
      <c r="C154" s="63"/>
      <c r="D154" s="64"/>
      <c r="E154" s="55"/>
      <c r="F154" s="65"/>
      <c r="G154" s="66"/>
      <c r="H154" s="66"/>
      <c r="I154" s="66"/>
      <c r="J154" s="66"/>
      <c r="K154" s="31"/>
    </row>
    <row r="155" spans="1:11" s="28" customFormat="1" ht="15.6" x14ac:dyDescent="0.3">
      <c r="A155" s="22"/>
      <c r="B155" s="22"/>
      <c r="C155" s="22"/>
      <c r="D155" s="28" t="s">
        <v>282</v>
      </c>
      <c r="E155" s="55"/>
      <c r="F155" s="18" t="s">
        <v>283</v>
      </c>
      <c r="G155" s="18"/>
      <c r="H155" s="18"/>
      <c r="I155" s="18"/>
      <c r="J155" s="18"/>
    </row>
    <row r="156" spans="1:11" ht="15" customHeight="1" x14ac:dyDescent="0.3">
      <c r="E156" s="55"/>
    </row>
    <row r="157" spans="1:11" ht="15" customHeight="1" x14ac:dyDescent="0.3">
      <c r="E157" s="55"/>
    </row>
    <row r="158" spans="1:11" ht="15" customHeight="1" x14ac:dyDescent="0.3">
      <c r="E158" s="55"/>
      <c r="G158" s="32">
        <f>SUM(G130:G153)</f>
        <v>375747168.14000005</v>
      </c>
      <c r="H158" s="32">
        <f t="shared" ref="H158:J158" si="30">SUM(H130:H153)</f>
        <v>296325292.53999996</v>
      </c>
      <c r="I158" s="32">
        <f t="shared" si="30"/>
        <v>79421875.599999979</v>
      </c>
      <c r="J158" s="32">
        <f t="shared" si="30"/>
        <v>76402309.889999986</v>
      </c>
    </row>
    <row r="159" spans="1:11" x14ac:dyDescent="0.3">
      <c r="E159" s="56"/>
    </row>
    <row r="160" spans="1:11" x14ac:dyDescent="0.3">
      <c r="G160" s="32">
        <f>G129-G158</f>
        <v>0</v>
      </c>
      <c r="H160" s="32">
        <f t="shared" ref="H160:J160" si="31">H129-H158</f>
        <v>0</v>
      </c>
      <c r="I160" s="32">
        <f t="shared" si="31"/>
        <v>0</v>
      </c>
      <c r="J160" s="32">
        <f t="shared" si="31"/>
        <v>0</v>
      </c>
    </row>
    <row r="162" spans="7:10" x14ac:dyDescent="0.3">
      <c r="G162" s="32"/>
      <c r="H162" s="32"/>
      <c r="I162" s="32"/>
      <c r="J162" s="32"/>
    </row>
    <row r="163" spans="7:10" x14ac:dyDescent="0.3">
      <c r="G163" s="32"/>
      <c r="H163" s="32"/>
      <c r="I163" s="32"/>
      <c r="J163" s="32"/>
    </row>
  </sheetData>
  <mergeCells count="21">
    <mergeCell ref="H1:J1"/>
    <mergeCell ref="H2:J2"/>
    <mergeCell ref="H3:J3"/>
    <mergeCell ref="H5:J5"/>
    <mergeCell ref="A13:J13"/>
    <mergeCell ref="H12:J12"/>
    <mergeCell ref="H7:J7"/>
    <mergeCell ref="H8:J8"/>
    <mergeCell ref="H10:J10"/>
    <mergeCell ref="H11:J11"/>
    <mergeCell ref="H9:J9"/>
    <mergeCell ref="A14:B14"/>
    <mergeCell ref="A17:A18"/>
    <mergeCell ref="B17:B18"/>
    <mergeCell ref="C17:C18"/>
    <mergeCell ref="D17:D18"/>
    <mergeCell ref="F17:F18"/>
    <mergeCell ref="G17:G18"/>
    <mergeCell ref="H17:H18"/>
    <mergeCell ref="I17:J17"/>
    <mergeCell ref="E17:E18"/>
  </mergeCells>
  <pageMargins left="0.39370078740157483" right="0.39370078740157483" top="0.39370078740157483" bottom="0.39370078740157483" header="0.51181102362204722" footer="0.51181102362204722"/>
  <pageSetup paperSize="9" scale="48" fitToHeight="9" orientation="landscape" r:id="rId1"/>
  <rowBreaks count="1" manualBreakCount="1">
    <brk id="14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 грудень</vt:lpstr>
      <vt:lpstr>'зі змінами грудень'!Заголовки_для_печати</vt:lpstr>
      <vt:lpstr>'зі змінами грудень'!Область_печати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2022-12-16T13:07:36Z</dcterms:modified>
</cp:coreProperties>
</file>