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9 місяців\"/>
    </mc:Choice>
  </mc:AlternateContent>
  <xr:revisionPtr revIDLastSave="0" documentId="13_ncr:1_{FD01824D-D7C1-49CD-9E3F-FC5F385F92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</sheets>
  <definedNames>
    <definedName name="Z_22648713_93C4_4BCC_9593_E6D578C36006_.wvu.PrintArea" localSheetId="0" hidden="1">'2026'!$A$1:$P$118</definedName>
    <definedName name="Z_22648713_93C4_4BCC_9593_E6D578C36006_.wvu.PrintTitles" localSheetId="0" hidden="1">'2026'!$9:$14</definedName>
    <definedName name="Z_22648713_93C4_4BCC_9593_E6D578C36006_.wvu.Rows" localSheetId="0" hidden="1">'2026'!$26:$26,'2026'!#REF!</definedName>
    <definedName name="_xlnm.Print_Titles" localSheetId="0">'2026'!$9:$14</definedName>
    <definedName name="_xlnm.Print_Area" localSheetId="0">'2026'!$A$1:$Q$231</definedName>
  </definedNames>
  <calcPr calcId="191029"/>
  <customWorkbookViews>
    <customWorkbookView name="Администратор - Личное представление" guid="{22648713-93C4-4BCC-9593-E6D578C36006}" mergeInterval="0" personalView="1" maximized="1" xWindow="1" yWindow="1" windowWidth="1276" windowHeight="767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1" i="4" l="1"/>
  <c r="K70" i="4"/>
  <c r="K19" i="4"/>
  <c r="K18" i="4"/>
  <c r="K141" i="4"/>
  <c r="K140" i="4"/>
  <c r="K139" i="4"/>
  <c r="L190" i="4"/>
  <c r="K190" i="4"/>
  <c r="J27" i="4"/>
  <c r="J205" i="4"/>
  <c r="J175" i="4"/>
  <c r="J174" i="4"/>
  <c r="J167" i="4"/>
  <c r="J166" i="4"/>
  <c r="J156" i="4"/>
  <c r="J150" i="4"/>
  <c r="J118" i="4"/>
  <c r="J73" i="4"/>
  <c r="P16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M31" i="4"/>
  <c r="O31" i="4"/>
  <c r="P31" i="4"/>
  <c r="N32" i="4"/>
  <c r="N34" i="4"/>
  <c r="N35" i="4"/>
  <c r="N36" i="4"/>
  <c r="N37" i="4"/>
  <c r="N38" i="4"/>
  <c r="O38" i="4"/>
  <c r="P38" i="4"/>
  <c r="N40" i="4"/>
  <c r="N41" i="4"/>
  <c r="N42" i="4"/>
  <c r="N43" i="4"/>
  <c r="N44" i="4"/>
  <c r="N45" i="4"/>
  <c r="M46" i="4"/>
  <c r="N46" i="4"/>
  <c r="N47" i="4"/>
  <c r="N48" i="4"/>
  <c r="M49" i="4"/>
  <c r="N49" i="4"/>
  <c r="N51" i="4"/>
  <c r="N52" i="4"/>
  <c r="N53" i="4"/>
  <c r="N54" i="4"/>
  <c r="N55" i="4"/>
  <c r="M56" i="4"/>
  <c r="N56" i="4"/>
  <c r="N57" i="4"/>
  <c r="N58" i="4"/>
  <c r="N59" i="4"/>
  <c r="N60" i="4"/>
  <c r="N61" i="4"/>
  <c r="M62" i="4"/>
  <c r="M63" i="4"/>
  <c r="N63" i="4"/>
  <c r="M64" i="4"/>
  <c r="N64" i="4"/>
  <c r="M65" i="4"/>
  <c r="N65" i="4"/>
  <c r="N68" i="4"/>
  <c r="M69" i="4"/>
  <c r="N69" i="4"/>
  <c r="N70" i="4"/>
  <c r="O70" i="4"/>
  <c r="N71" i="4"/>
  <c r="N72" i="4"/>
  <c r="N73" i="4"/>
  <c r="N75" i="4"/>
  <c r="N76" i="4"/>
  <c r="N77" i="4"/>
  <c r="N78" i="4"/>
  <c r="O78" i="4"/>
  <c r="N79" i="4"/>
  <c r="N80" i="4"/>
  <c r="N81" i="4"/>
  <c r="N82" i="4"/>
  <c r="N83" i="4"/>
  <c r="O84" i="4"/>
  <c r="P84" i="4"/>
  <c r="O85" i="4"/>
  <c r="P85" i="4"/>
  <c r="N86" i="4"/>
  <c r="O87" i="4"/>
  <c r="M88" i="4"/>
  <c r="O88" i="4"/>
  <c r="N89" i="4"/>
  <c r="O90" i="4"/>
  <c r="N91" i="4"/>
  <c r="N92" i="4"/>
  <c r="N93" i="4"/>
  <c r="N94" i="4"/>
  <c r="N95" i="4"/>
  <c r="N96" i="4"/>
  <c r="N99" i="4"/>
  <c r="N100" i="4"/>
  <c r="N101" i="4"/>
  <c r="N102" i="4"/>
  <c r="M103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M117" i="4"/>
  <c r="N117" i="4"/>
  <c r="N118" i="4"/>
  <c r="N119" i="4"/>
  <c r="N121" i="4"/>
  <c r="N122" i="4"/>
  <c r="N123" i="4"/>
  <c r="N125" i="4"/>
  <c r="N128" i="4"/>
  <c r="M129" i="4"/>
  <c r="N129" i="4"/>
  <c r="N130" i="4"/>
  <c r="N131" i="4"/>
  <c r="N134" i="4"/>
  <c r="N135" i="4"/>
  <c r="N136" i="4"/>
  <c r="O136" i="4"/>
  <c r="N137" i="4"/>
  <c r="N138" i="4"/>
  <c r="N139" i="4"/>
  <c r="N140" i="4"/>
  <c r="O140" i="4"/>
  <c r="N141" i="4"/>
  <c r="N142" i="4"/>
  <c r="N143" i="4"/>
  <c r="N144" i="4"/>
  <c r="N145" i="4"/>
  <c r="O146" i="4"/>
  <c r="O147" i="4"/>
  <c r="N148" i="4"/>
  <c r="N149" i="4"/>
  <c r="N150" i="4"/>
  <c r="N151" i="4"/>
  <c r="N152" i="4"/>
  <c r="M153" i="4"/>
  <c r="N153" i="4"/>
  <c r="N154" i="4"/>
  <c r="N155" i="4"/>
  <c r="N156" i="4"/>
  <c r="M157" i="4"/>
  <c r="N160" i="4"/>
  <c r="N161" i="4"/>
  <c r="M162" i="4"/>
  <c r="N162" i="4"/>
  <c r="N163" i="4"/>
  <c r="N164" i="4"/>
  <c r="N165" i="4"/>
  <c r="N166" i="4"/>
  <c r="N167" i="4"/>
  <c r="O168" i="4"/>
  <c r="P168" i="4"/>
  <c r="M169" i="4"/>
  <c r="N169" i="4"/>
  <c r="N170" i="4"/>
  <c r="N171" i="4"/>
  <c r="N172" i="4"/>
  <c r="O173" i="4"/>
  <c r="N174" i="4"/>
  <c r="N175" i="4"/>
  <c r="M176" i="4"/>
  <c r="M177" i="4"/>
  <c r="M178" i="4"/>
  <c r="N179" i="4"/>
  <c r="N182" i="4"/>
  <c r="N183" i="4"/>
  <c r="M184" i="4"/>
  <c r="N184" i="4"/>
  <c r="N185" i="4"/>
  <c r="O186" i="4"/>
  <c r="P186" i="4"/>
  <c r="N187" i="4"/>
  <c r="O187" i="4"/>
  <c r="P187" i="4"/>
  <c r="M188" i="4"/>
  <c r="N188" i="4"/>
  <c r="N189" i="4"/>
  <c r="O190" i="4"/>
  <c r="P190" i="4"/>
  <c r="M191" i="4"/>
  <c r="O191" i="4"/>
  <c r="P191" i="4"/>
  <c r="M192" i="4"/>
  <c r="N192" i="4"/>
  <c r="N193" i="4"/>
  <c r="O194" i="4"/>
  <c r="N195" i="4"/>
  <c r="N198" i="4"/>
  <c r="M199" i="4"/>
  <c r="N199" i="4"/>
  <c r="N200" i="4"/>
  <c r="N201" i="4"/>
  <c r="N202" i="4"/>
  <c r="N203" i="4"/>
  <c r="N204" i="4"/>
  <c r="N205" i="4"/>
  <c r="N206" i="4"/>
  <c r="N207" i="4"/>
  <c r="N210" i="4"/>
  <c r="N211" i="4"/>
  <c r="M212" i="4"/>
  <c r="N212" i="4"/>
  <c r="N213" i="4"/>
  <c r="O214" i="4"/>
  <c r="P214" i="4"/>
  <c r="N215" i="4"/>
  <c r="N216" i="4"/>
  <c r="O221" i="4"/>
  <c r="P221" i="4"/>
  <c r="P226" i="4"/>
  <c r="O227" i="4"/>
  <c r="L228" i="4"/>
  <c r="P228" i="4" s="1"/>
  <c r="K228" i="4"/>
  <c r="O228" i="4" s="1"/>
  <c r="J228" i="4"/>
  <c r="N228" i="4" s="1"/>
  <c r="I228" i="4"/>
  <c r="M228" i="4" s="1"/>
  <c r="L227" i="4"/>
  <c r="K227" i="4"/>
  <c r="L226" i="4"/>
  <c r="K226" i="4"/>
  <c r="O226" i="4" s="1"/>
  <c r="L225" i="4"/>
  <c r="P225" i="4" s="1"/>
  <c r="K225" i="4"/>
  <c r="O225" i="4" s="1"/>
  <c r="L224" i="4"/>
  <c r="K224" i="4"/>
  <c r="J224" i="4"/>
  <c r="N224" i="4" s="1"/>
  <c r="I224" i="4"/>
  <c r="M224" i="4" s="1"/>
  <c r="L223" i="4"/>
  <c r="K223" i="4"/>
  <c r="J223" i="4"/>
  <c r="N223" i="4" s="1"/>
  <c r="I223" i="4"/>
  <c r="M223" i="4" s="1"/>
  <c r="L222" i="4"/>
  <c r="K222" i="4"/>
  <c r="O222" i="4" s="1"/>
  <c r="J222" i="4"/>
  <c r="N222" i="4" s="1"/>
  <c r="I222" i="4"/>
  <c r="M222" i="4" s="1"/>
  <c r="L221" i="4"/>
  <c r="K221" i="4"/>
  <c r="L220" i="4"/>
  <c r="P220" i="4" s="1"/>
  <c r="K220" i="4"/>
  <c r="O220" i="4" s="1"/>
  <c r="L219" i="4"/>
  <c r="L229" i="4" s="1"/>
  <c r="P229" i="4" s="1"/>
  <c r="I218" i="4"/>
  <c r="I216" i="4"/>
  <c r="M216" i="4" s="1"/>
  <c r="I215" i="4"/>
  <c r="M215" i="4" s="1"/>
  <c r="I214" i="4"/>
  <c r="M214" i="4" s="1"/>
  <c r="I213" i="4"/>
  <c r="M213" i="4" s="1"/>
  <c r="I212" i="4"/>
  <c r="I211" i="4"/>
  <c r="M211" i="4" s="1"/>
  <c r="I210" i="4"/>
  <c r="M210" i="4" s="1"/>
  <c r="L209" i="4"/>
  <c r="P209" i="4" s="1"/>
  <c r="K209" i="4"/>
  <c r="O209" i="4" s="1"/>
  <c r="J209" i="4"/>
  <c r="N209" i="4" s="1"/>
  <c r="I209" i="4"/>
  <c r="M209" i="4" s="1"/>
  <c r="L208" i="4"/>
  <c r="P208" i="4" s="1"/>
  <c r="K208" i="4"/>
  <c r="O208" i="4" s="1"/>
  <c r="J208" i="4"/>
  <c r="N208" i="4" s="1"/>
  <c r="I208" i="4"/>
  <c r="M208" i="4" s="1"/>
  <c r="I207" i="4"/>
  <c r="M207" i="4" s="1"/>
  <c r="I206" i="4"/>
  <c r="M206" i="4" s="1"/>
  <c r="I205" i="4"/>
  <c r="M205" i="4" s="1"/>
  <c r="I204" i="4"/>
  <c r="M204" i="4" s="1"/>
  <c r="I203" i="4"/>
  <c r="M203" i="4" s="1"/>
  <c r="I202" i="4"/>
  <c r="M202" i="4" s="1"/>
  <c r="I201" i="4"/>
  <c r="M201" i="4" s="1"/>
  <c r="I200" i="4"/>
  <c r="M200" i="4" s="1"/>
  <c r="I199" i="4"/>
  <c r="I198" i="4"/>
  <c r="M198" i="4" s="1"/>
  <c r="L197" i="4"/>
  <c r="K197" i="4"/>
  <c r="J197" i="4"/>
  <c r="N197" i="4" s="1"/>
  <c r="I197" i="4"/>
  <c r="M197" i="4" s="1"/>
  <c r="L196" i="4"/>
  <c r="K196" i="4"/>
  <c r="J196" i="4"/>
  <c r="N196" i="4" s="1"/>
  <c r="I196" i="4"/>
  <c r="M196" i="4" s="1"/>
  <c r="I195" i="4"/>
  <c r="M195" i="4" s="1"/>
  <c r="I194" i="4"/>
  <c r="M194" i="4" s="1"/>
  <c r="I193" i="4"/>
  <c r="M193" i="4" s="1"/>
  <c r="I192" i="4"/>
  <c r="I191" i="4"/>
  <c r="I190" i="4"/>
  <c r="M190" i="4" s="1"/>
  <c r="I189" i="4"/>
  <c r="M189" i="4" s="1"/>
  <c r="I188" i="4"/>
  <c r="I187" i="4"/>
  <c r="M187" i="4" s="1"/>
  <c r="I186" i="4"/>
  <c r="M186" i="4" s="1"/>
  <c r="I185" i="4"/>
  <c r="M185" i="4" s="1"/>
  <c r="I184" i="4"/>
  <c r="I183" i="4"/>
  <c r="M183" i="4" s="1"/>
  <c r="I182" i="4"/>
  <c r="M182" i="4" s="1"/>
  <c r="L181" i="4"/>
  <c r="P181" i="4" s="1"/>
  <c r="K181" i="4"/>
  <c r="O181" i="4" s="1"/>
  <c r="J181" i="4"/>
  <c r="N181" i="4" s="1"/>
  <c r="I181" i="4"/>
  <c r="M181" i="4" s="1"/>
  <c r="L180" i="4"/>
  <c r="P180" i="4" s="1"/>
  <c r="K180" i="4"/>
  <c r="O180" i="4" s="1"/>
  <c r="J180" i="4"/>
  <c r="N180" i="4" s="1"/>
  <c r="I180" i="4"/>
  <c r="M180" i="4" s="1"/>
  <c r="I179" i="4"/>
  <c r="M179" i="4" s="1"/>
  <c r="I178" i="4"/>
  <c r="I177" i="4"/>
  <c r="I176" i="4"/>
  <c r="I175" i="4"/>
  <c r="M175" i="4" s="1"/>
  <c r="I174" i="4"/>
  <c r="M174" i="4" s="1"/>
  <c r="I173" i="4"/>
  <c r="M173" i="4" s="1"/>
  <c r="I172" i="4"/>
  <c r="M172" i="4" s="1"/>
  <c r="I171" i="4"/>
  <c r="M171" i="4" s="1"/>
  <c r="I170" i="4"/>
  <c r="M170" i="4" s="1"/>
  <c r="I169" i="4"/>
  <c r="I168" i="4"/>
  <c r="M168" i="4" s="1"/>
  <c r="I167" i="4"/>
  <c r="M167" i="4" s="1"/>
  <c r="I166" i="4"/>
  <c r="M166" i="4" s="1"/>
  <c r="I165" i="4"/>
  <c r="M165" i="4" s="1"/>
  <c r="I164" i="4"/>
  <c r="M164" i="4" s="1"/>
  <c r="I163" i="4"/>
  <c r="M163" i="4" s="1"/>
  <c r="I162" i="4"/>
  <c r="I161" i="4"/>
  <c r="M161" i="4" s="1"/>
  <c r="I160" i="4"/>
  <c r="M160" i="4" s="1"/>
  <c r="L159" i="4"/>
  <c r="P159" i="4" s="1"/>
  <c r="K159" i="4"/>
  <c r="O159" i="4" s="1"/>
  <c r="J159" i="4"/>
  <c r="N159" i="4" s="1"/>
  <c r="I159" i="4"/>
  <c r="M159" i="4" s="1"/>
  <c r="L158" i="4"/>
  <c r="P158" i="4" s="1"/>
  <c r="K158" i="4"/>
  <c r="O158" i="4" s="1"/>
  <c r="J158" i="4"/>
  <c r="N158" i="4" s="1"/>
  <c r="I158" i="4"/>
  <c r="M158" i="4" s="1"/>
  <c r="I157" i="4"/>
  <c r="I156" i="4"/>
  <c r="M156" i="4" s="1"/>
  <c r="I155" i="4"/>
  <c r="M155" i="4" s="1"/>
  <c r="I154" i="4"/>
  <c r="M154" i="4" s="1"/>
  <c r="I153" i="4"/>
  <c r="I152" i="4"/>
  <c r="M152" i="4" s="1"/>
  <c r="I151" i="4"/>
  <c r="M151" i="4" s="1"/>
  <c r="I150" i="4"/>
  <c r="M150" i="4" s="1"/>
  <c r="I149" i="4"/>
  <c r="M149" i="4" s="1"/>
  <c r="I148" i="4"/>
  <c r="M148" i="4" s="1"/>
  <c r="L147" i="4"/>
  <c r="K147" i="4"/>
  <c r="J147" i="4"/>
  <c r="N147" i="4" s="1"/>
  <c r="I147" i="4"/>
  <c r="M147" i="4" s="1"/>
  <c r="L146" i="4"/>
  <c r="K146" i="4"/>
  <c r="J146" i="4"/>
  <c r="N146" i="4" s="1"/>
  <c r="I146" i="4"/>
  <c r="M146" i="4" s="1"/>
  <c r="I145" i="4"/>
  <c r="M145" i="4" s="1"/>
  <c r="I144" i="4"/>
  <c r="M144" i="4" s="1"/>
  <c r="I143" i="4"/>
  <c r="M143" i="4" s="1"/>
  <c r="I142" i="4"/>
  <c r="M142" i="4" s="1"/>
  <c r="I141" i="4"/>
  <c r="M141" i="4" s="1"/>
  <c r="I140" i="4"/>
  <c r="M140" i="4" s="1"/>
  <c r="I139" i="4"/>
  <c r="M139" i="4" s="1"/>
  <c r="I138" i="4"/>
  <c r="M138" i="4" s="1"/>
  <c r="I137" i="4"/>
  <c r="M137" i="4" s="1"/>
  <c r="I136" i="4"/>
  <c r="M136" i="4" s="1"/>
  <c r="I135" i="4"/>
  <c r="M135" i="4" s="1"/>
  <c r="I134" i="4"/>
  <c r="M134" i="4" s="1"/>
  <c r="L133" i="4"/>
  <c r="K133" i="4"/>
  <c r="O133" i="4" s="1"/>
  <c r="J133" i="4"/>
  <c r="N133" i="4" s="1"/>
  <c r="I133" i="4"/>
  <c r="M133" i="4" s="1"/>
  <c r="L132" i="4"/>
  <c r="K132" i="4"/>
  <c r="O132" i="4" s="1"/>
  <c r="J132" i="4"/>
  <c r="N132" i="4" s="1"/>
  <c r="I132" i="4"/>
  <c r="M132" i="4" s="1"/>
  <c r="I131" i="4"/>
  <c r="M131" i="4" s="1"/>
  <c r="I130" i="4"/>
  <c r="M130" i="4" s="1"/>
  <c r="I129" i="4"/>
  <c r="I128" i="4"/>
  <c r="M128" i="4" s="1"/>
  <c r="J127" i="4"/>
  <c r="N127" i="4" s="1"/>
  <c r="I127" i="4"/>
  <c r="M127" i="4" s="1"/>
  <c r="L126" i="4"/>
  <c r="K126" i="4"/>
  <c r="J126" i="4"/>
  <c r="N126" i="4" s="1"/>
  <c r="I126" i="4"/>
  <c r="M126" i="4" s="1"/>
  <c r="I125" i="4"/>
  <c r="M125" i="4" s="1"/>
  <c r="J124" i="4"/>
  <c r="N124" i="4" s="1"/>
  <c r="I124" i="4"/>
  <c r="M124" i="4" s="1"/>
  <c r="I123" i="4"/>
  <c r="M123" i="4" s="1"/>
  <c r="I122" i="4"/>
  <c r="M122" i="4" s="1"/>
  <c r="I121" i="4"/>
  <c r="M121" i="4" s="1"/>
  <c r="J120" i="4"/>
  <c r="N120" i="4" s="1"/>
  <c r="I120" i="4"/>
  <c r="M120" i="4" s="1"/>
  <c r="I119" i="4"/>
  <c r="M119" i="4" s="1"/>
  <c r="I118" i="4"/>
  <c r="M118" i="4" s="1"/>
  <c r="I117" i="4"/>
  <c r="I116" i="4"/>
  <c r="M116" i="4" s="1"/>
  <c r="I115" i="4"/>
  <c r="M115" i="4" s="1"/>
  <c r="I114" i="4"/>
  <c r="M114" i="4" s="1"/>
  <c r="I113" i="4"/>
  <c r="M113" i="4" s="1"/>
  <c r="I112" i="4"/>
  <c r="M112" i="4" s="1"/>
  <c r="I111" i="4"/>
  <c r="M111" i="4" s="1"/>
  <c r="I110" i="4"/>
  <c r="M110" i="4" s="1"/>
  <c r="I109" i="4"/>
  <c r="M109" i="4" s="1"/>
  <c r="I108" i="4"/>
  <c r="M108" i="4" s="1"/>
  <c r="I107" i="4"/>
  <c r="M107" i="4" s="1"/>
  <c r="I106" i="4"/>
  <c r="M106" i="4" s="1"/>
  <c r="I105" i="4"/>
  <c r="M105" i="4" s="1"/>
  <c r="I104" i="4"/>
  <c r="M104" i="4" s="1"/>
  <c r="I103" i="4"/>
  <c r="I102" i="4"/>
  <c r="M102" i="4" s="1"/>
  <c r="I101" i="4"/>
  <c r="M101" i="4" s="1"/>
  <c r="I100" i="4"/>
  <c r="M100" i="4" s="1"/>
  <c r="I99" i="4"/>
  <c r="M99" i="4" s="1"/>
  <c r="L98" i="4"/>
  <c r="K98" i="4"/>
  <c r="O98" i="4" s="1"/>
  <c r="J98" i="4"/>
  <c r="N98" i="4" s="1"/>
  <c r="I98" i="4"/>
  <c r="M98" i="4" s="1"/>
  <c r="L97" i="4"/>
  <c r="K97" i="4"/>
  <c r="O97" i="4" s="1"/>
  <c r="J97" i="4"/>
  <c r="N97" i="4" s="1"/>
  <c r="I97" i="4"/>
  <c r="M97" i="4" s="1"/>
  <c r="I96" i="4"/>
  <c r="M96" i="4" s="1"/>
  <c r="I95" i="4"/>
  <c r="M95" i="4" s="1"/>
  <c r="I94" i="4"/>
  <c r="M94" i="4" s="1"/>
  <c r="I93" i="4"/>
  <c r="M93" i="4" s="1"/>
  <c r="I92" i="4"/>
  <c r="M92" i="4" s="1"/>
  <c r="I91" i="4"/>
  <c r="M91" i="4" s="1"/>
  <c r="I90" i="4"/>
  <c r="M90" i="4" s="1"/>
  <c r="I89" i="4"/>
  <c r="M89" i="4" s="1"/>
  <c r="I88" i="4"/>
  <c r="I87" i="4"/>
  <c r="M87" i="4" s="1"/>
  <c r="I86" i="4"/>
  <c r="M86" i="4" s="1"/>
  <c r="I85" i="4"/>
  <c r="M85" i="4" s="1"/>
  <c r="I84" i="4"/>
  <c r="M84" i="4" s="1"/>
  <c r="I83" i="4"/>
  <c r="M83" i="4" s="1"/>
  <c r="I82" i="4"/>
  <c r="M82" i="4" s="1"/>
  <c r="I81" i="4"/>
  <c r="M81" i="4" s="1"/>
  <c r="I80" i="4"/>
  <c r="M80" i="4" s="1"/>
  <c r="I79" i="4"/>
  <c r="M79" i="4" s="1"/>
  <c r="I78" i="4"/>
  <c r="M78" i="4" s="1"/>
  <c r="I77" i="4"/>
  <c r="M77" i="4" s="1"/>
  <c r="I76" i="4"/>
  <c r="M76" i="4" s="1"/>
  <c r="I75" i="4"/>
  <c r="M75" i="4" s="1"/>
  <c r="I74" i="4"/>
  <c r="J220" i="4"/>
  <c r="I73" i="4"/>
  <c r="M73" i="4" s="1"/>
  <c r="I72" i="4"/>
  <c r="M72" i="4" s="1"/>
  <c r="I71" i="4"/>
  <c r="M71" i="4" s="1"/>
  <c r="I70" i="4"/>
  <c r="M70" i="4" s="1"/>
  <c r="I69" i="4"/>
  <c r="I68" i="4"/>
  <c r="M68" i="4" s="1"/>
  <c r="L67" i="4"/>
  <c r="P67" i="4" s="1"/>
  <c r="K67" i="4"/>
  <c r="O67" i="4" s="1"/>
  <c r="J67" i="4"/>
  <c r="N67" i="4" s="1"/>
  <c r="I67" i="4"/>
  <c r="M67" i="4" s="1"/>
  <c r="L66" i="4"/>
  <c r="P66" i="4" s="1"/>
  <c r="K66" i="4"/>
  <c r="O66" i="4" s="1"/>
  <c r="J66" i="4"/>
  <c r="N66" i="4" s="1"/>
  <c r="I66" i="4"/>
  <c r="M66" i="4" s="1"/>
  <c r="I65" i="4"/>
  <c r="I64" i="4"/>
  <c r="I63" i="4"/>
  <c r="I62" i="4"/>
  <c r="I61" i="4"/>
  <c r="M61" i="4" s="1"/>
  <c r="I60" i="4"/>
  <c r="M60" i="4" s="1"/>
  <c r="I59" i="4"/>
  <c r="M59" i="4" s="1"/>
  <c r="I58" i="4"/>
  <c r="M58" i="4" s="1"/>
  <c r="I57" i="4"/>
  <c r="M57" i="4" s="1"/>
  <c r="I56" i="4"/>
  <c r="I55" i="4"/>
  <c r="M55" i="4" s="1"/>
  <c r="I54" i="4"/>
  <c r="M54" i="4" s="1"/>
  <c r="I53" i="4"/>
  <c r="M53" i="4" s="1"/>
  <c r="I52" i="4"/>
  <c r="M52" i="4" s="1"/>
  <c r="I51" i="4"/>
  <c r="M51" i="4" s="1"/>
  <c r="J50" i="4"/>
  <c r="I50" i="4"/>
  <c r="M50" i="4" s="1"/>
  <c r="I49" i="4"/>
  <c r="I48" i="4"/>
  <c r="M48" i="4" s="1"/>
  <c r="I47" i="4"/>
  <c r="M47" i="4" s="1"/>
  <c r="I46" i="4"/>
  <c r="I45" i="4"/>
  <c r="M45" i="4" s="1"/>
  <c r="I44" i="4"/>
  <c r="M44" i="4" s="1"/>
  <c r="I43" i="4"/>
  <c r="M43" i="4" s="1"/>
  <c r="I42" i="4"/>
  <c r="M42" i="4" s="1"/>
  <c r="I41" i="4"/>
  <c r="M41" i="4" s="1"/>
  <c r="I40" i="4"/>
  <c r="M40" i="4" s="1"/>
  <c r="J39" i="4"/>
  <c r="I39" i="4"/>
  <c r="M39" i="4" s="1"/>
  <c r="I38" i="4"/>
  <c r="M38" i="4" s="1"/>
  <c r="I37" i="4"/>
  <c r="M37" i="4" s="1"/>
  <c r="I36" i="4"/>
  <c r="M36" i="4" s="1"/>
  <c r="I35" i="4"/>
  <c r="M35" i="4" s="1"/>
  <c r="I34" i="4"/>
  <c r="M34" i="4" s="1"/>
  <c r="J33" i="4"/>
  <c r="I33" i="4"/>
  <c r="M33" i="4" s="1"/>
  <c r="I32" i="4"/>
  <c r="M32" i="4" s="1"/>
  <c r="I31" i="4"/>
  <c r="I30" i="4"/>
  <c r="M30" i="4" s="1"/>
  <c r="I29" i="4"/>
  <c r="M29" i="4" s="1"/>
  <c r="I28" i="4"/>
  <c r="M28" i="4" s="1"/>
  <c r="J221" i="4"/>
  <c r="I27" i="4"/>
  <c r="M27" i="4" s="1"/>
  <c r="I26" i="4"/>
  <c r="M26" i="4" s="1"/>
  <c r="I25" i="4"/>
  <c r="M25" i="4" s="1"/>
  <c r="I24" i="4"/>
  <c r="M24" i="4" s="1"/>
  <c r="I23" i="4"/>
  <c r="M23" i="4" s="1"/>
  <c r="I22" i="4"/>
  <c r="M22" i="4" s="1"/>
  <c r="I21" i="4"/>
  <c r="M21" i="4" s="1"/>
  <c r="I20" i="4"/>
  <c r="M20" i="4" s="1"/>
  <c r="I19" i="4"/>
  <c r="M19" i="4" s="1"/>
  <c r="I18" i="4"/>
  <c r="M18" i="4" s="1"/>
  <c r="K17" i="4"/>
  <c r="J17" i="4"/>
  <c r="I17" i="4"/>
  <c r="M17" i="4" s="1"/>
  <c r="L16" i="4"/>
  <c r="K16" i="4"/>
  <c r="J16" i="4"/>
  <c r="N16" i="4" s="1"/>
  <c r="I16" i="4"/>
  <c r="M16" i="4" s="1"/>
  <c r="L15" i="4"/>
  <c r="L217" i="4" s="1"/>
  <c r="P217" i="4" s="1"/>
  <c r="K15" i="4"/>
  <c r="K217" i="4" s="1"/>
  <c r="O217" i="4" s="1"/>
  <c r="J15" i="4"/>
  <c r="J217" i="4" s="1"/>
  <c r="I15" i="4"/>
  <c r="G229" i="4"/>
  <c r="H229" i="4"/>
  <c r="F229" i="4"/>
  <c r="F82" i="4"/>
  <c r="F77" i="4"/>
  <c r="F76" i="4"/>
  <c r="F75" i="4"/>
  <c r="K219" i="4" l="1"/>
  <c r="I220" i="4"/>
  <c r="M220" i="4" s="1"/>
  <c r="N220" i="4"/>
  <c r="J227" i="4"/>
  <c r="N50" i="4"/>
  <c r="J226" i="4"/>
  <c r="N39" i="4"/>
  <c r="I226" i="4"/>
  <c r="M226" i="4" s="1"/>
  <c r="N226" i="4"/>
  <c r="J225" i="4"/>
  <c r="N33" i="4"/>
  <c r="I221" i="4"/>
  <c r="M221" i="4" s="1"/>
  <c r="N221" i="4"/>
  <c r="I217" i="4"/>
  <c r="M217" i="4" s="1"/>
  <c r="N217" i="4"/>
  <c r="J219" i="4"/>
  <c r="N219" i="4" s="1"/>
  <c r="N17" i="4"/>
  <c r="J229" i="4"/>
  <c r="I219" i="4"/>
  <c r="M219" i="4" s="1"/>
  <c r="G220" i="4"/>
  <c r="H220" i="4"/>
  <c r="G221" i="4"/>
  <c r="H221" i="4"/>
  <c r="G222" i="4"/>
  <c r="H222" i="4"/>
  <c r="G223" i="4"/>
  <c r="H223" i="4"/>
  <c r="G224" i="4"/>
  <c r="H224" i="4"/>
  <c r="G225" i="4"/>
  <c r="H225" i="4"/>
  <c r="G226" i="4"/>
  <c r="H226" i="4"/>
  <c r="G227" i="4"/>
  <c r="H227" i="4"/>
  <c r="G228" i="4"/>
  <c r="H228" i="4"/>
  <c r="F228" i="4"/>
  <c r="F227" i="4"/>
  <c r="F226" i="4"/>
  <c r="F225" i="4"/>
  <c r="F224" i="4"/>
  <c r="F223" i="4"/>
  <c r="F222" i="4"/>
  <c r="F221" i="4"/>
  <c r="G219" i="4"/>
  <c r="H219" i="4"/>
  <c r="F219" i="4"/>
  <c r="G217" i="4"/>
  <c r="H217" i="4"/>
  <c r="G209" i="4"/>
  <c r="H209" i="4"/>
  <c r="F209" i="4"/>
  <c r="G208" i="4"/>
  <c r="H208" i="4"/>
  <c r="F208" i="4"/>
  <c r="G197" i="4"/>
  <c r="H197" i="4"/>
  <c r="F197" i="4"/>
  <c r="G196" i="4"/>
  <c r="H196" i="4"/>
  <c r="F196" i="4"/>
  <c r="G180" i="4"/>
  <c r="H180" i="4"/>
  <c r="F180" i="4"/>
  <c r="G181" i="4"/>
  <c r="H181" i="4"/>
  <c r="F181" i="4"/>
  <c r="G159" i="4"/>
  <c r="H159" i="4"/>
  <c r="F159" i="4"/>
  <c r="G158" i="4"/>
  <c r="H158" i="4"/>
  <c r="F158" i="4"/>
  <c r="G147" i="4"/>
  <c r="H147" i="4"/>
  <c r="F147" i="4"/>
  <c r="G146" i="4"/>
  <c r="H146" i="4"/>
  <c r="F146" i="4"/>
  <c r="G133" i="4"/>
  <c r="H133" i="4"/>
  <c r="F133" i="4"/>
  <c r="G132" i="4"/>
  <c r="H132" i="4"/>
  <c r="F132" i="4"/>
  <c r="G126" i="4"/>
  <c r="H126" i="4"/>
  <c r="F126" i="4"/>
  <c r="F127" i="4"/>
  <c r="G98" i="4"/>
  <c r="H98" i="4"/>
  <c r="F98" i="4"/>
  <c r="G97" i="4"/>
  <c r="H97" i="4"/>
  <c r="F97" i="4"/>
  <c r="F120" i="4"/>
  <c r="F124" i="4"/>
  <c r="F73" i="4"/>
  <c r="F220" i="4" s="1"/>
  <c r="G67" i="4"/>
  <c r="H67" i="4"/>
  <c r="F67" i="4"/>
  <c r="G66" i="4"/>
  <c r="H66" i="4"/>
  <c r="F66" i="4"/>
  <c r="F217" i="4" s="1"/>
  <c r="G15" i="4"/>
  <c r="H15" i="4"/>
  <c r="F15" i="4"/>
  <c r="G16" i="4"/>
  <c r="H16" i="4"/>
  <c r="F16" i="4"/>
  <c r="F50" i="4"/>
  <c r="F39" i="4"/>
  <c r="F33" i="4"/>
  <c r="F27" i="4"/>
  <c r="G17" i="4"/>
  <c r="F17" i="4"/>
  <c r="E219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20" i="4"/>
  <c r="E221" i="4"/>
  <c r="E222" i="4"/>
  <c r="E223" i="4"/>
  <c r="E224" i="4"/>
  <c r="E225" i="4"/>
  <c r="E226" i="4"/>
  <c r="E227" i="4"/>
  <c r="E228" i="4"/>
  <c r="E229" i="4"/>
  <c r="E15" i="4"/>
  <c r="K229" i="4" l="1"/>
  <c r="O229" i="4" s="1"/>
  <c r="I227" i="4"/>
  <c r="M227" i="4" s="1"/>
  <c r="N227" i="4"/>
  <c r="I225" i="4"/>
  <c r="M225" i="4" s="1"/>
  <c r="N225" i="4"/>
  <c r="I229" i="4"/>
  <c r="M229" i="4" s="1"/>
  <c r="N229" i="4"/>
  <c r="F230" i="4"/>
  <c r="N15" i="4" l="1"/>
  <c r="P15" i="4" l="1"/>
  <c r="M15" i="4" l="1"/>
</calcChain>
</file>

<file path=xl/sharedStrings.xml><?xml version="1.0" encoding="utf-8"?>
<sst xmlns="http://schemas.openxmlformats.org/spreadsheetml/2006/main" count="731" uniqueCount="439">
  <si>
    <t>бюджет розвитку</t>
  </si>
  <si>
    <t>РАЗОМ</t>
  </si>
  <si>
    <t>0111</t>
  </si>
  <si>
    <t>1090</t>
  </si>
  <si>
    <t>0320</t>
  </si>
  <si>
    <t>0133</t>
  </si>
  <si>
    <t>0470</t>
  </si>
  <si>
    <t>Заходи з енергозбереження</t>
  </si>
  <si>
    <t>0620</t>
  </si>
  <si>
    <t>0180</t>
  </si>
  <si>
    <t>1010</t>
  </si>
  <si>
    <t>0910</t>
  </si>
  <si>
    <t>1020</t>
  </si>
  <si>
    <t>0921</t>
  </si>
  <si>
    <t>1030</t>
  </si>
  <si>
    <t>0922</t>
  </si>
  <si>
    <t>0960</t>
  </si>
  <si>
    <t>0950</t>
  </si>
  <si>
    <t>0990</t>
  </si>
  <si>
    <t>1040</t>
  </si>
  <si>
    <t>0810</t>
  </si>
  <si>
    <t>0490</t>
  </si>
  <si>
    <t>1100000</t>
  </si>
  <si>
    <t>1110000</t>
  </si>
  <si>
    <t>5011</t>
  </si>
  <si>
    <t>1115011</t>
  </si>
  <si>
    <t>1500000</t>
  </si>
  <si>
    <t>1510000</t>
  </si>
  <si>
    <t>1060</t>
  </si>
  <si>
    <t>2010</t>
  </si>
  <si>
    <t>0731</t>
  </si>
  <si>
    <t>0722</t>
  </si>
  <si>
    <t>1070</t>
  </si>
  <si>
    <t>3112</t>
  </si>
  <si>
    <t>4060</t>
  </si>
  <si>
    <t>0824</t>
  </si>
  <si>
    <t>0828</t>
  </si>
  <si>
    <t>0829</t>
  </si>
  <si>
    <t>6030</t>
  </si>
  <si>
    <t>0456</t>
  </si>
  <si>
    <t>0540</t>
  </si>
  <si>
    <t>Проведення навчально-тренувальних зборів і змагань з олімпійських видів спорту</t>
  </si>
  <si>
    <t>Заходи державної політики з питань дітей та їх соціального захисту</t>
  </si>
  <si>
    <t>1115012</t>
  </si>
  <si>
    <t>5012</t>
  </si>
  <si>
    <t>Проведення навчально-тренувальних зборів і змагань з неолімпійських видів спорту</t>
  </si>
  <si>
    <t>5031</t>
  </si>
  <si>
    <t>1115061</t>
  </si>
  <si>
    <t>5061</t>
  </si>
  <si>
    <t>0150</t>
  </si>
  <si>
    <t>2100</t>
  </si>
  <si>
    <t>0600000</t>
  </si>
  <si>
    <t>0610000</t>
  </si>
  <si>
    <t>0160</t>
  </si>
  <si>
    <t>0610160</t>
  </si>
  <si>
    <t>0611010</t>
  </si>
  <si>
    <t>Надання дошкільної освіти</t>
  </si>
  <si>
    <t>0611070</t>
  </si>
  <si>
    <t>0200000</t>
  </si>
  <si>
    <t>0210000</t>
  </si>
  <si>
    <t>0210150</t>
  </si>
  <si>
    <t>0212010</t>
  </si>
  <si>
    <t>0212100</t>
  </si>
  <si>
    <t>0216030</t>
  </si>
  <si>
    <t>0615031</t>
  </si>
  <si>
    <t>0800000</t>
  </si>
  <si>
    <t>0810000</t>
  </si>
  <si>
    <t>0810160</t>
  </si>
  <si>
    <t>3121</t>
  </si>
  <si>
    <t>0813121</t>
  </si>
  <si>
    <t>1000000</t>
  </si>
  <si>
    <t>1010000</t>
  </si>
  <si>
    <t>1010160</t>
  </si>
  <si>
    <t>4030</t>
  </si>
  <si>
    <t>1014030</t>
  </si>
  <si>
    <t>Забезпечення діяльності бібліотек</t>
  </si>
  <si>
    <t>4040</t>
  </si>
  <si>
    <t>1014040</t>
  </si>
  <si>
    <t>1014060</t>
  </si>
  <si>
    <t>1110160</t>
  </si>
  <si>
    <t>3123</t>
  </si>
  <si>
    <t>3133</t>
  </si>
  <si>
    <t>1113133</t>
  </si>
  <si>
    <t>1200000</t>
  </si>
  <si>
    <t>1210000</t>
  </si>
  <si>
    <t>1210160</t>
  </si>
  <si>
    <t>1216030</t>
  </si>
  <si>
    <t>1510160</t>
  </si>
  <si>
    <t>3100000</t>
  </si>
  <si>
    <t>3110000</t>
  </si>
  <si>
    <t>3110160</t>
  </si>
  <si>
    <t>3700000</t>
  </si>
  <si>
    <t>3710000</t>
  </si>
  <si>
    <t>3710160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</si>
  <si>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</si>
  <si>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</si>
  <si>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Експлуатація та технічне обслуговування житлового фонду</t>
  </si>
  <si>
    <t>3110180</t>
  </si>
  <si>
    <t>Інша діяльність у сфері державного управління</t>
  </si>
  <si>
    <t>0813032</t>
  </si>
  <si>
    <t>3032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</si>
  <si>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</si>
  <si>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</si>
  <si>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</si>
  <si>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</si>
  <si>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7680</t>
  </si>
  <si>
    <t>0217680</t>
  </si>
  <si>
    <t>Членські внески до асоціацій органів місцевого самоврядування</t>
  </si>
  <si>
    <t>0210180</t>
  </si>
  <si>
    <t>3104</t>
  </si>
  <si>
    <t>0813104</t>
  </si>
  <si>
    <t>1050</t>
  </si>
  <si>
    <t>Організація та проведення громадських робіт</t>
  </si>
  <si>
    <t>6015</t>
  </si>
  <si>
    <t>1216015</t>
  </si>
  <si>
    <t>Забезпечення надійної та безперебійної експлуатації ліфтів</t>
  </si>
  <si>
    <t>1217461</t>
  </si>
  <si>
    <t>0443</t>
  </si>
  <si>
    <t>0218340</t>
  </si>
  <si>
    <t>0763</t>
  </si>
  <si>
    <t>1014082</t>
  </si>
  <si>
    <t>4082</t>
  </si>
  <si>
    <t>4081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</si>
  <si>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</si>
  <si>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</si>
  <si>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>Природоохоронні заходи за рахунок цільових фондів</t>
  </si>
  <si>
    <t>7693</t>
  </si>
  <si>
    <t>Заходи із запобігання та ліквідації надзвичайних ситуацій та наслідків стихійного лиха</t>
  </si>
  <si>
    <t>3210</t>
  </si>
  <si>
    <t>1213210</t>
  </si>
  <si>
    <t>0813160</t>
  </si>
  <si>
    <t>3160</t>
  </si>
  <si>
    <t>0813180</t>
  </si>
  <si>
    <t>3180</t>
  </si>
  <si>
    <t>0813192</t>
  </si>
  <si>
    <t>3192</t>
  </si>
  <si>
    <t>3242</t>
  </si>
  <si>
    <t>0213242</t>
  </si>
  <si>
    <t>0613242</t>
  </si>
  <si>
    <t>0813242</t>
  </si>
  <si>
    <t>1014081</t>
  </si>
  <si>
    <t>Забезпечення діяльності інших закладів у сфері освіти</t>
  </si>
  <si>
    <t>1216017</t>
  </si>
  <si>
    <t>6017</t>
  </si>
  <si>
    <t>Багатопрофільна стаціонарна медична допомога населенню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</si>
  <si>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</si>
  <si>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Інші субвенції з місцевого бюджету</t>
  </si>
  <si>
    <t>0810180</t>
  </si>
  <si>
    <t>0380</t>
  </si>
  <si>
    <t>Код Програмної класифікації видатків та кредитування місцевих бюджетів</t>
  </si>
  <si>
    <t>Код 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</si>
  <si>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</si>
  <si>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  головного розпорядника коштів місцевого бюджету/ відповідального виконавця, найменування бюджетної програми/ підпрограми згідно з Типовою програмною класифікацією видатків та кредитування місцевих бюджетів</t>
  </si>
  <si>
    <t>3050</t>
  </si>
  <si>
    <t>Пільгове медичне обслуговування осіб, які постраждали внаслідок Чорнобильської катастрофи</t>
  </si>
  <si>
    <t>0813050</t>
  </si>
  <si>
    <t>0813090</t>
  </si>
  <si>
    <t>3090</t>
  </si>
  <si>
    <t>Видатки на поховання учасників бойових дій та осіб з інвалідністю внаслідок війни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</si>
  <si>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</si>
  <si>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</si>
  <si>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</si>
  <si>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3117693</t>
  </si>
  <si>
    <t>ЗВІТ</t>
  </si>
  <si>
    <t>в  тому  числі</t>
  </si>
  <si>
    <t>в  тому   числі</t>
  </si>
  <si>
    <t>загальний фонд</t>
  </si>
  <si>
    <t>спеціальний фонд</t>
  </si>
  <si>
    <t>загальний  фонд</t>
  </si>
  <si>
    <t xml:space="preserve">з них </t>
  </si>
  <si>
    <t>0218210</t>
  </si>
  <si>
    <t>8210</t>
  </si>
  <si>
    <t>Муніципальні формування з охорони громадського порядку</t>
  </si>
  <si>
    <t>3116017</t>
  </si>
  <si>
    <t>2152</t>
  </si>
  <si>
    <t>1210170</t>
  </si>
  <si>
    <t>0611021</t>
  </si>
  <si>
    <t>1021</t>
  </si>
  <si>
    <t>0611022</t>
  </si>
  <si>
    <t>1022</t>
  </si>
  <si>
    <t>0611031</t>
  </si>
  <si>
    <t>1031</t>
  </si>
  <si>
    <t>0611032</t>
  </si>
  <si>
    <t>1032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</si>
  <si>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</si>
  <si>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</si>
  <si>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</si>
  <si>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Підвищення кваліфікації, перепідготовка кадрів закладами післядипломної освіти</t>
  </si>
  <si>
    <t>0611141</t>
  </si>
  <si>
    <t>1141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</si>
  <si>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</si>
  <si>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</si>
  <si>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</si>
  <si>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</si>
  <si>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Забезпечення діяльності інклюзивно-ресурсних центрів за рахунок освітньої субвенції</t>
  </si>
  <si>
    <t>1011080</t>
  </si>
  <si>
    <t>1080</t>
  </si>
  <si>
    <t>3718710</t>
  </si>
  <si>
    <t>8710</t>
  </si>
  <si>
    <t>Олександрівська селищна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</si>
  <si>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</si>
  <si>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</si>
  <si>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(код бюджету)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</si>
  <si>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</si>
  <si>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</si>
  <si>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</si>
  <si>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</si>
  <si>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</si>
  <si>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</si>
  <si>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</si>
  <si>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</si>
  <si>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</si>
  <si>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</si>
  <si>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</si>
  <si>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</si>
  <si>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</si>
  <si>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</si>
  <si>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Субвенція з місцевого бюджету державному бюджету на виконання програм соціально-економічного розвитку регіонів</t>
  </si>
  <si>
    <t/>
  </si>
  <si>
    <t>Виконавчий комiтет Чорноморської мiської ради Одеського району Одеської областi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</si>
  <si>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</si>
  <si>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Стоматологічна допомога населенню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</si>
  <si>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</si>
  <si>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</si>
  <si>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</si>
  <si>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</si>
  <si>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Інші програми та заходи у сфері охорони здоров`я</t>
  </si>
  <si>
    <t>Організація благоустрою населених пунктів</t>
  </si>
  <si>
    <t>0218220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</si>
  <si>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</si>
  <si>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</si>
  <si>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</si>
  <si>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</si>
  <si>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8240</t>
  </si>
  <si>
    <t>Заходи та роботи з територіальної оборони</t>
  </si>
  <si>
    <t>Керівництво і управління у відповідній сфері у містах (місті Києві), селищах, селах, територіальних громадах</t>
  </si>
  <si>
    <t>Управлiння соцiальної полiтики Чорноморської мiської ради Одеського району Одеської областi</t>
  </si>
  <si>
    <t>Надання пільг окремим категоріям громадян з оплати послуг зв`язку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</si>
  <si>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</si>
  <si>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0813123</t>
  </si>
  <si>
    <t>Заходи державної політики з питань сім`ї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</si>
  <si>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</si>
  <si>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</si>
  <si>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</si>
  <si>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Вiддiл культури Чорноморської мiської ради Одеського району Одеської областi</t>
  </si>
  <si>
    <t>Надання спеціалізованої освіти мистецькими школами</t>
  </si>
  <si>
    <t>Забезпечення діяльності музеїв i виставок</t>
  </si>
  <si>
    <t>Забезпечення діяльності палаців i будинків культури, клубів, центрів дозвілля та iнших клубних закладів</t>
  </si>
  <si>
    <t>Вiддiл комунального господарства та благоустрою Чорноморської мiської ради Одеського району Одеської областi</t>
  </si>
  <si>
    <t>Інша діяльність, пов`язана з експлуатацією об`єктів житлово-комунального господарства</t>
  </si>
  <si>
    <t>Інші заходи, пов`язані з економічною діяльністю</t>
  </si>
  <si>
    <t>Управлiння капiтального будiвництва Чорноморської мiської ради Одеського району Одеської областi</t>
  </si>
  <si>
    <t>Управлiння комунальної власностi та земельних вiдносин Чорноморської мiської ради Одеського району Одеської областi</t>
  </si>
  <si>
    <t>Фiнансове управлiння Чорноморської мiської ради Одеського району Одеської областi</t>
  </si>
  <si>
    <t>Резервний фонд місцевого бюджету</t>
  </si>
  <si>
    <t>X</t>
  </si>
  <si>
    <t>УСЬОГО</t>
  </si>
  <si>
    <t>0813230</t>
  </si>
  <si>
    <t>3118240</t>
  </si>
  <si>
    <t xml:space="preserve"> в тому  числі</t>
  </si>
  <si>
    <t>Виконання (%)</t>
  </si>
  <si>
    <t>0618110</t>
  </si>
  <si>
    <t>0610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</si>
  <si>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</si>
  <si>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</si>
  <si>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</si>
  <si>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</si>
  <si>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</si>
  <si>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</si>
  <si>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3117130</t>
  </si>
  <si>
    <t>7130</t>
  </si>
  <si>
    <t>0421</t>
  </si>
  <si>
    <t>Здійснення заходів із землеустрою</t>
  </si>
  <si>
    <t>7000</t>
  </si>
  <si>
    <t>Економічна діяльність</t>
  </si>
  <si>
    <t>Інша діяльність</t>
  </si>
  <si>
    <t>8000</t>
  </si>
  <si>
    <t>9000</t>
  </si>
  <si>
    <t>Міжбюджетні трансферти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</si>
  <si>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</si>
  <si>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</si>
  <si>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</si>
  <si>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</si>
  <si>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Додаток 3</t>
  </si>
  <si>
    <t xml:space="preserve">до рішення Чорноморської міської ради </t>
  </si>
  <si>
    <t>0900000</t>
  </si>
  <si>
    <t>0910000</t>
  </si>
  <si>
    <t>0910160</t>
  </si>
  <si>
    <t>0913112</t>
  </si>
  <si>
    <t>Затверджено розписом на звітний рік з урахуванням змін, грн</t>
  </si>
  <si>
    <t>0218240</t>
  </si>
  <si>
    <t>0217640</t>
  </si>
  <si>
    <t>Разом</t>
  </si>
  <si>
    <t>усього</t>
  </si>
  <si>
    <t>Виконано за звітний період, грн</t>
  </si>
  <si>
    <t>2111</t>
  </si>
  <si>
    <t>КНП "Чорноморська лікарня" Чорноморської міської ради Одеського району Одеської області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</si>
  <si>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</si>
  <si>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</si>
  <si>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0217520</t>
  </si>
  <si>
    <t>7520</t>
  </si>
  <si>
    <t>0460</t>
  </si>
  <si>
    <t>Реалізація Національної програми інформатизації</t>
  </si>
  <si>
    <t>КУ "Муніципальна варта" Чорноморської міської ради Одеського району Одеської області</t>
  </si>
  <si>
    <t>7640</t>
  </si>
  <si>
    <t>0218110</t>
  </si>
  <si>
    <t>8220</t>
  </si>
  <si>
    <t>Управління освіти Чорноморської мiської ради Одеського району Одеської областi</t>
  </si>
  <si>
    <t>в тому числі:</t>
  </si>
  <si>
    <t>комунальні заклади загальної середньої освіти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</si>
  <si>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</si>
  <si>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</si>
  <si>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</si>
  <si>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</si>
  <si>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</si>
  <si>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</si>
  <si>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</si>
  <si>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</si>
  <si>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</si>
  <si>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</si>
  <si>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</si>
  <si>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Розвиток здібностей у дітей та молоді з фізичної культури та спорту комунальними дитячо-юнацькими спортивними школами</t>
  </si>
  <si>
    <t>0617520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</si>
  <si>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</si>
  <si>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0813140</t>
  </si>
  <si>
    <t>0813193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</si>
  <si>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</si>
  <si>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</si>
  <si>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</si>
  <si>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0817520</t>
  </si>
  <si>
    <t>Управління соціальної політики Чорноморської мiської ради Одеського району Одеської областi</t>
  </si>
  <si>
    <t>Комунальна установа "Центр соціальних служб Чорноморської міської ради Одеського району Одеської області"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</si>
  <si>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</si>
  <si>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Служба у справах дітей Чорноморської міської ради Одеського району Одеської області</t>
  </si>
  <si>
    <t>0917520</t>
  </si>
  <si>
    <t>1013140</t>
  </si>
  <si>
    <t>1017520</t>
  </si>
  <si>
    <t>Вiддiл  молодi та спорту Чорноморської мiської ради Одеського району Одеської областi</t>
  </si>
  <si>
    <t>Забезпечення молодіжними центрами соціального становлення та розвитку молоді та інші заходи у сфері  молодіжної політики</t>
  </si>
  <si>
    <t>1117520</t>
  </si>
  <si>
    <t>0640</t>
  </si>
  <si>
    <t>1217520</t>
  </si>
  <si>
    <t>1217691</t>
  </si>
  <si>
    <t>7691</t>
  </si>
  <si>
    <t>1217693</t>
  </si>
  <si>
    <t>1218110</t>
  </si>
  <si>
    <t>8110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</si>
  <si>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</si>
  <si>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1517520</t>
  </si>
  <si>
    <t>3116090</t>
  </si>
  <si>
    <t>Інша діяльність у сфері житлово-комунального господарства</t>
  </si>
  <si>
    <t>3117520</t>
  </si>
  <si>
    <t>3717520</t>
  </si>
  <si>
    <t>Реверсна дотація</t>
  </si>
  <si>
    <t>3719770</t>
  </si>
  <si>
    <t>9770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</si>
  <si>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</si>
  <si>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</si>
  <si>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</si>
  <si>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</si>
  <si>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</si>
  <si>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</si>
  <si>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</si>
  <si>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0217610</t>
  </si>
  <si>
    <t>7610</t>
  </si>
  <si>
    <t>0411</t>
  </si>
  <si>
    <t>Сприяння розвитку малого та середнього підприємництва</t>
  </si>
  <si>
    <t>0217693</t>
  </si>
  <si>
    <t>Інші заходи, пов'язані з економічною діяльністю</t>
  </si>
  <si>
    <t>Заходи та роботи з територіальної оборони,</t>
  </si>
  <si>
    <t>0610170</t>
  </si>
  <si>
    <t>приватні заклади загальної середньої освіти</t>
  </si>
  <si>
    <t>1152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</si>
  <si>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</si>
  <si>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</si>
  <si>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</si>
  <si>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</si>
  <si>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</si>
  <si>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</si>
  <si>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</si>
  <si>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</si>
  <si>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</si>
  <si>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</si>
  <si>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0810170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</si>
  <si>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</si>
  <si>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</si>
  <si>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</si>
  <si>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</si>
  <si>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</si>
  <si>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3193</t>
  </si>
  <si>
    <t>0823244</t>
  </si>
  <si>
    <t>3244</t>
  </si>
  <si>
    <t>Надання комплексної соціальної послуги життєстійкості надавачами соціальних послуг</t>
  </si>
  <si>
    <t>0818110</t>
  </si>
  <si>
    <t>0910170</t>
  </si>
  <si>
    <t>1010170</t>
  </si>
  <si>
    <t>1018110</t>
  </si>
  <si>
    <t>1110170</t>
  </si>
  <si>
    <t>Розвиток спортивної інфраструктури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</si>
  <si>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</si>
  <si>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1117691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</si>
  <si>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</si>
  <si>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</si>
  <si>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</si>
  <si>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1218340</t>
  </si>
  <si>
    <t>1517691</t>
  </si>
  <si>
    <t>від                           2026  №           - VIII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</si>
  <si>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</si>
  <si>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</si>
  <si>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</si>
  <si>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</si>
  <si>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</si>
  <si>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</si>
  <si>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</si>
  <si>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</si>
  <si>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</si>
  <si>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0218733</t>
  </si>
  <si>
    <t>Заходи із запобігання та ліквідації наслідків надзвичайної ситуації на об'єктах транспортної та дорожньої інфраструктури за рахунок коштів резервного фонду місцевого бюджету</t>
  </si>
  <si>
    <t>0218746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</si>
  <si>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</si>
  <si>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</si>
  <si>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</si>
  <si>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</si>
  <si>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Реалізація Комплексних планів стійкості регіонів та окремих міст</t>
  </si>
  <si>
    <t>1218742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</si>
  <si>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</si>
  <si>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1218745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</si>
  <si>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</si>
  <si>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1218746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</si>
  <si>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</si>
  <si>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Начальник фінансового управління</t>
  </si>
  <si>
    <t>Ольга ЯКОВЕНКО</t>
  </si>
  <si>
    <t>про виконання видатків бюджету  Чорноморської міської територіальної громади  за  9 місяців 2026 року</t>
  </si>
  <si>
    <t>більше 100%</t>
  </si>
  <si>
    <t>у 8,2 рази</t>
  </si>
  <si>
    <t>у 2,3 рази</t>
  </si>
  <si>
    <t>у 2,8 рази</t>
  </si>
  <si>
    <t>у 2,1 рази</t>
  </si>
  <si>
    <t>у 6 разів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</si>
</sst>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"/>
    <numFmt numFmtId="165" formatCode="0.0%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u/>
      <sz val="12"/>
      <name val="Times New Roman"/>
      <family val="1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43" fontId="17" fillId="0" borderId="0" applyFont="0" applyFill="0" applyBorder="0" applyAlignment="0" applyProtection="0"/>
  </cellStyleXfs>
  <cellXfs count="103">
    <xf numFmtId="0" fontId="0" fillId="0" borderId="0" xfId="0"/>
    <xf numFmtId="0" fontId="6" fillId="2" borderId="0" xfId="0" applyFont="1" applyFill="1"/>
    <xf numFmtId="0" fontId="5" fillId="2" borderId="0" xfId="0" applyFont="1" applyFill="1"/>
    <xf numFmtId="49" fontId="3" fillId="2" borderId="0" xfId="0" applyNumberFormat="1" applyFont="1" applyFill="1"/>
    <xf numFmtId="0" fontId="9" fillId="2" borderId="0" xfId="0" applyFont="1" applyFill="1"/>
    <xf numFmtId="164" fontId="9" fillId="0" borderId="0" xfId="0" applyNumberFormat="1" applyFont="1" applyAlignment="1">
      <alignment horizontal="left"/>
    </xf>
    <xf numFmtId="2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49" fontId="3" fillId="0" borderId="0" xfId="0" applyNumberFormat="1" applyFont="1"/>
    <xf numFmtId="0" fontId="3" fillId="0" borderId="0" xfId="2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0" borderId="0" xfId="0" applyFont="1" applyAlignment="1">
      <alignment horizontal="center" wrapText="1"/>
    </xf>
    <xf numFmtId="0" fontId="3" fillId="0" borderId="0" xfId="2" applyFont="1" applyAlignment="1">
      <alignment wrapText="1"/>
    </xf>
    <xf numFmtId="0" fontId="6" fillId="2" borderId="0" xfId="0" applyFont="1" applyFill="1" applyAlignment="1">
      <alignment wrapText="1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165" fontId="7" fillId="0" borderId="1" xfId="2" applyNumberFormat="1" applyFont="1" applyBorder="1" applyAlignment="1">
      <alignment vertical="center" wrapText="1"/>
    </xf>
    <xf numFmtId="165" fontId="5" fillId="0" borderId="1" xfId="2" applyNumberFormat="1" applyFont="1" applyBorder="1" applyAlignment="1">
      <alignment vertical="center" wrapText="1"/>
    </xf>
    <xf numFmtId="2" fontId="5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quotePrefix="1" applyFont="1" applyFill="1" applyBorder="1" applyAlignment="1">
      <alignment vertical="center" wrapText="1"/>
    </xf>
    <xf numFmtId="4" fontId="14" fillId="2" borderId="1" xfId="0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quotePrefix="1" applyFont="1" applyFill="1" applyBorder="1" applyAlignment="1">
      <alignment vertical="center" wrapText="1"/>
    </xf>
    <xf numFmtId="4" fontId="15" fillId="2" borderId="1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quotePrefix="1" applyFont="1" applyFill="1" applyBorder="1" applyAlignment="1">
      <alignment vertical="center" wrapText="1"/>
    </xf>
    <xf numFmtId="4" fontId="16" fillId="2" borderId="1" xfId="0" applyNumberFormat="1" applyFont="1" applyFill="1" applyBorder="1" applyAlignment="1">
      <alignment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164" fontId="5" fillId="2" borderId="1" xfId="2" applyNumberFormat="1" applyFont="1" applyFill="1" applyBorder="1" applyAlignment="1">
      <alignment wrapText="1"/>
    </xf>
    <xf numFmtId="4" fontId="15" fillId="2" borderId="1" xfId="0" applyNumberFormat="1" applyFont="1" applyFill="1" applyBorder="1"/>
    <xf numFmtId="0" fontId="14" fillId="2" borderId="1" xfId="0" applyFont="1" applyFill="1" applyBorder="1" applyAlignment="1">
      <alignment wrapText="1"/>
    </xf>
    <xf numFmtId="4" fontId="5" fillId="2" borderId="0" xfId="0" applyNumberFormat="1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3" fillId="0" borderId="0" xfId="2" applyFont="1" applyAlignment="1">
      <alignment horizontal="right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2" applyFont="1" applyBorder="1" applyAlignment="1">
      <alignment horizontal="right" vertical="center" wrapText="1"/>
    </xf>
    <xf numFmtId="165" fontId="7" fillId="0" borderId="1" xfId="2" applyNumberFormat="1" applyFont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0" fontId="18" fillId="2" borderId="0" xfId="0" applyFont="1" applyFill="1"/>
    <xf numFmtId="0" fontId="15" fillId="0" borderId="0" xfId="0" applyFont="1"/>
    <xf numFmtId="4" fontId="15" fillId="2" borderId="1" xfId="0" applyNumberFormat="1" applyFont="1" applyFill="1" applyBorder="1" applyAlignment="1">
      <alignment horizontal="right" vertical="center"/>
    </xf>
    <xf numFmtId="4" fontId="14" fillId="2" borderId="0" xfId="0" applyNumberFormat="1" applyFont="1" applyFill="1" applyAlignment="1">
      <alignment vertical="center"/>
    </xf>
    <xf numFmtId="4" fontId="14" fillId="2" borderId="1" xfId="0" applyNumberFormat="1" applyFont="1" applyFill="1" applyBorder="1"/>
    <xf numFmtId="4" fontId="5" fillId="2" borderId="0" xfId="0" applyNumberFormat="1" applyFont="1" applyFill="1"/>
    <xf numFmtId="4" fontId="15" fillId="2" borderId="1" xfId="4" applyNumberFormat="1" applyFont="1" applyFill="1" applyBorder="1" applyAlignment="1">
      <alignment vertical="center"/>
    </xf>
    <xf numFmtId="165" fontId="8" fillId="0" borderId="1" xfId="2" applyNumberFormat="1" applyFont="1" applyBorder="1" applyAlignment="1">
      <alignment vertical="center" wrapText="1"/>
    </xf>
    <xf numFmtId="165" fontId="8" fillId="0" borderId="1" xfId="2" applyNumberFormat="1" applyFont="1" applyBorder="1" applyAlignment="1">
      <alignment horizontal="right" vertical="center" wrapText="1"/>
    </xf>
    <xf numFmtId="1" fontId="5" fillId="2" borderId="0" xfId="0" applyNumberFormat="1" applyFont="1" applyFill="1" applyAlignment="1">
      <alignment vertical="center"/>
    </xf>
    <xf numFmtId="4" fontId="8" fillId="2" borderId="0" xfId="0" applyNumberFormat="1" applyFont="1" applyFill="1" applyAlignment="1">
      <alignment vertical="center"/>
    </xf>
    <xf numFmtId="4" fontId="14" fillId="0" borderId="1" xfId="0" applyNumberFormat="1" applyFont="1" applyBorder="1" applyAlignment="1">
      <alignment vertical="center"/>
    </xf>
    <xf numFmtId="4" fontId="15" fillId="0" borderId="1" xfId="0" applyNumberFormat="1" applyFont="1" applyBorder="1" applyAlignment="1">
      <alignment vertical="center"/>
    </xf>
    <xf numFmtId="4" fontId="16" fillId="0" borderId="1" xfId="0" applyNumberFormat="1" applyFont="1" applyBorder="1" applyAlignment="1">
      <alignment vertical="center"/>
    </xf>
    <xf numFmtId="4" fontId="15" fillId="0" borderId="1" xfId="0" applyNumberFormat="1" applyFont="1" applyBorder="1" applyAlignment="1">
      <alignment horizontal="right" vertical="center"/>
    </xf>
    <xf numFmtId="4" fontId="14" fillId="0" borderId="0" xfId="0" applyNumberFormat="1" applyFont="1" applyAlignment="1">
      <alignment vertical="center"/>
    </xf>
    <xf numFmtId="4" fontId="15" fillId="0" borderId="1" xfId="0" applyNumberFormat="1" applyFont="1" applyBorder="1"/>
    <xf numFmtId="4" fontId="14" fillId="0" borderId="1" xfId="0" applyNumberFormat="1" applyFont="1" applyBorder="1"/>
    <xf numFmtId="0" fontId="3" fillId="0" borderId="0" xfId="0" applyFont="1" applyAlignment="1">
      <alignment horizontal="left"/>
    </xf>
    <xf numFmtId="4" fontId="15" fillId="0" borderId="1" xfId="4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49" fontId="12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5">
    <cellStyle name="Звичайний" xfId="0" builtinId="0"/>
    <cellStyle name="Обычный 2" xfId="3" xr:uid="{00000000-0005-0000-0000-000001000000}"/>
    <cellStyle name="Обычный 3" xfId="1" xr:uid="{00000000-0005-0000-0000-000002000000}"/>
    <cellStyle name="Обычный_дод 3" xfId="2" xr:uid="{00000000-0005-0000-0000-000003000000}"/>
    <cellStyle name="Фінансовий" xfId="4" builtinId="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R231"/>
  <sheetViews>
    <sheetView showZeros="0" tabSelected="1" view="pageBreakPreview" zoomScale="69" zoomScaleNormal="50" zoomScaleSheetLayoutView="69" workbookViewId="0">
      <pane xSplit="4" ySplit="14" topLeftCell="E36" activePane="bottomRight" state="frozen"/>
      <selection pane="topRight" activeCell="E1" sqref="E1"/>
      <selection pane="bottomLeft" activeCell="A13" sqref="A13"/>
      <selection pane="bottomRight" activeCell="I44" activeCellId="2" sqref="I26 I29 I44"/>
    </sheetView>
  </sheetViews>
  <sheetFormatPr defaultColWidth="9.140625" defaultRowHeight="15.75" x14ac:dyDescent="0.25"/>
  <cols>
    <col min="1" max="1" width="18" style="3" customWidth="1"/>
    <col min="2" max="2" width="15.140625" style="3" customWidth="1"/>
    <col min="3" max="3" width="18.42578125" style="3" customWidth="1"/>
    <col min="4" max="4" width="54.140625" style="1" customWidth="1"/>
    <col min="5" max="5" width="23.140625" style="9" customWidth="1"/>
    <col min="6" max="6" width="23.7109375" style="9" customWidth="1"/>
    <col min="7" max="7" width="20.28515625" style="9" customWidth="1"/>
    <col min="8" max="8" width="19.85546875" style="9" customWidth="1"/>
    <col min="9" max="9" width="21" style="9" customWidth="1"/>
    <col min="10" max="10" width="21.28515625" style="9" customWidth="1"/>
    <col min="11" max="11" width="20.140625" style="9" customWidth="1"/>
    <col min="12" max="12" width="18" style="9" customWidth="1"/>
    <col min="13" max="13" width="10.7109375" style="21" customWidth="1"/>
    <col min="14" max="14" width="12.7109375" style="21" customWidth="1"/>
    <col min="15" max="15" width="15.42578125" style="59" customWidth="1"/>
    <col min="16" max="16" width="13.28515625" style="59" customWidth="1"/>
    <col min="17" max="17" width="7" style="1" hidden="1" customWidth="1"/>
    <col min="18" max="16384" width="9.140625" style="1"/>
  </cols>
  <sheetData>
    <row r="1" spans="1:16" x14ac:dyDescent="0.25">
      <c r="A1" s="5"/>
      <c r="B1" s="6"/>
      <c r="C1" s="6"/>
      <c r="D1" s="7"/>
      <c r="E1" s="8"/>
      <c r="F1" s="8"/>
      <c r="G1" s="8"/>
      <c r="H1" s="8"/>
      <c r="I1" s="8"/>
      <c r="J1" s="8"/>
      <c r="K1" s="8"/>
      <c r="L1" s="8"/>
      <c r="M1" s="97" t="s">
        <v>283</v>
      </c>
      <c r="N1" s="97"/>
      <c r="O1" s="97"/>
      <c r="P1" s="52"/>
    </row>
    <row r="2" spans="1:16" ht="15.6" customHeight="1" x14ac:dyDescent="0.25">
      <c r="A2" s="5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97" t="s">
        <v>284</v>
      </c>
      <c r="N2" s="97"/>
      <c r="O2" s="97"/>
      <c r="P2" s="97"/>
    </row>
    <row r="3" spans="1:16" ht="15.6" customHeight="1" x14ac:dyDescent="0.25">
      <c r="A3" s="5"/>
      <c r="B3" s="6"/>
      <c r="C3" s="10"/>
      <c r="D3" s="7"/>
      <c r="E3" s="8"/>
      <c r="F3" s="8"/>
      <c r="G3" s="8"/>
      <c r="H3" s="8"/>
      <c r="I3" s="8"/>
      <c r="J3" s="8"/>
      <c r="K3" s="78"/>
      <c r="L3" s="8"/>
      <c r="M3" s="97" t="s">
        <v>406</v>
      </c>
      <c r="N3" s="97"/>
      <c r="O3" s="97"/>
      <c r="P3" s="97"/>
    </row>
    <row r="4" spans="1:16" s="4" customFormat="1" x14ac:dyDescent="0.25">
      <c r="A4" s="101" t="s">
        <v>163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</row>
    <row r="5" spans="1:16" s="4" customFormat="1" x14ac:dyDescent="0.25">
      <c r="A5" s="102" t="s">
        <v>432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1:16" s="4" customFormat="1" x14ac:dyDescent="0.25">
      <c r="A6" s="14">
        <v>1558900000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19"/>
      <c r="N6" s="19"/>
      <c r="O6" s="53"/>
      <c r="P6" s="53"/>
    </row>
    <row r="7" spans="1:16" s="4" customFormat="1" x14ac:dyDescent="0.25">
      <c r="A7" s="29" t="s">
        <v>202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19"/>
      <c r="N7" s="19"/>
      <c r="O7" s="53"/>
      <c r="P7" s="53"/>
    </row>
    <row r="8" spans="1:16" x14ac:dyDescent="0.25">
      <c r="A8" s="10"/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20"/>
      <c r="N8" s="20"/>
      <c r="O8" s="54"/>
      <c r="P8" s="54"/>
    </row>
    <row r="9" spans="1:16" ht="15.6" customHeight="1" x14ac:dyDescent="0.25">
      <c r="A9" s="84" t="s">
        <v>149</v>
      </c>
      <c r="B9" s="98" t="s">
        <v>150</v>
      </c>
      <c r="C9" s="84" t="s">
        <v>151</v>
      </c>
      <c r="D9" s="99" t="s">
        <v>152</v>
      </c>
      <c r="E9" s="85" t="s">
        <v>289</v>
      </c>
      <c r="F9" s="86"/>
      <c r="G9" s="86"/>
      <c r="H9" s="87"/>
      <c r="I9" s="85" t="s">
        <v>294</v>
      </c>
      <c r="J9" s="86"/>
      <c r="K9" s="86"/>
      <c r="L9" s="87"/>
      <c r="M9" s="85" t="s">
        <v>260</v>
      </c>
      <c r="N9" s="86"/>
      <c r="O9" s="86"/>
      <c r="P9" s="87"/>
    </row>
    <row r="10" spans="1:16" ht="15.6" customHeight="1" x14ac:dyDescent="0.25">
      <c r="A10" s="84"/>
      <c r="B10" s="98"/>
      <c r="C10" s="84"/>
      <c r="D10" s="99"/>
      <c r="E10" s="88" t="s">
        <v>292</v>
      </c>
      <c r="F10" s="94" t="s">
        <v>164</v>
      </c>
      <c r="G10" s="95"/>
      <c r="H10" s="96"/>
      <c r="I10" s="88" t="s">
        <v>292</v>
      </c>
      <c r="J10" s="94" t="s">
        <v>259</v>
      </c>
      <c r="K10" s="95"/>
      <c r="L10" s="96"/>
      <c r="M10" s="88" t="s">
        <v>292</v>
      </c>
      <c r="N10" s="91" t="s">
        <v>165</v>
      </c>
      <c r="O10" s="92"/>
      <c r="P10" s="93"/>
    </row>
    <row r="11" spans="1:16" x14ac:dyDescent="0.25">
      <c r="A11" s="84"/>
      <c r="B11" s="98"/>
      <c r="C11" s="84"/>
      <c r="D11" s="99"/>
      <c r="E11" s="89"/>
      <c r="F11" s="82" t="s">
        <v>166</v>
      </c>
      <c r="G11" s="82" t="s">
        <v>167</v>
      </c>
      <c r="H11" s="82"/>
      <c r="I11" s="89"/>
      <c r="J11" s="82" t="s">
        <v>168</v>
      </c>
      <c r="K11" s="82" t="s">
        <v>167</v>
      </c>
      <c r="L11" s="82"/>
      <c r="M11" s="89"/>
      <c r="N11" s="82" t="s">
        <v>166</v>
      </c>
      <c r="O11" s="100" t="s">
        <v>167</v>
      </c>
      <c r="P11" s="100"/>
    </row>
    <row r="12" spans="1:16" x14ac:dyDescent="0.25">
      <c r="A12" s="84"/>
      <c r="B12" s="98"/>
      <c r="C12" s="84"/>
      <c r="D12" s="99"/>
      <c r="E12" s="89"/>
      <c r="F12" s="83"/>
      <c r="G12" s="80" t="s">
        <v>293</v>
      </c>
      <c r="H12" s="51" t="s">
        <v>169</v>
      </c>
      <c r="I12" s="89"/>
      <c r="J12" s="83"/>
      <c r="K12" s="80" t="s">
        <v>293</v>
      </c>
      <c r="L12" s="51" t="s">
        <v>169</v>
      </c>
      <c r="M12" s="89"/>
      <c r="N12" s="83"/>
      <c r="O12" s="81" t="s">
        <v>293</v>
      </c>
      <c r="P12" s="55" t="s">
        <v>169</v>
      </c>
    </row>
    <row r="13" spans="1:16" ht="40.15" customHeight="1" x14ac:dyDescent="0.25">
      <c r="A13" s="84"/>
      <c r="B13" s="98"/>
      <c r="C13" s="84"/>
      <c r="D13" s="99"/>
      <c r="E13" s="90"/>
      <c r="F13" s="83"/>
      <c r="G13" s="80"/>
      <c r="H13" s="51" t="s">
        <v>0</v>
      </c>
      <c r="I13" s="90"/>
      <c r="J13" s="83"/>
      <c r="K13" s="80"/>
      <c r="L13" s="51" t="s">
        <v>0</v>
      </c>
      <c r="M13" s="90"/>
      <c r="N13" s="83"/>
      <c r="O13" s="81"/>
      <c r="P13" s="55" t="s">
        <v>0</v>
      </c>
    </row>
    <row r="14" spans="1:16" x14ac:dyDescent="0.25">
      <c r="A14" s="12">
        <v>1</v>
      </c>
      <c r="B14" s="12">
        <v>2</v>
      </c>
      <c r="C14" s="12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56">
        <v>15</v>
      </c>
      <c r="P14" s="56">
        <v>16</v>
      </c>
    </row>
    <row r="15" spans="1:16" s="18" customFormat="1" ht="56.25" x14ac:dyDescent="0.25">
      <c r="A15" s="32" t="s">
        <v>58</v>
      </c>
      <c r="B15" s="32" t="s">
        <v>218</v>
      </c>
      <c r="C15" s="32" t="s">
        <v>218</v>
      </c>
      <c r="D15" s="33" t="s">
        <v>219</v>
      </c>
      <c r="E15" s="34">
        <f>F15+G15</f>
        <v>267344434</v>
      </c>
      <c r="F15" s="34">
        <f>F16</f>
        <v>263447313</v>
      </c>
      <c r="G15" s="34">
        <f t="shared" ref="G15:H15" si="0">G16</f>
        <v>3897121</v>
      </c>
      <c r="H15" s="34">
        <f t="shared" si="0"/>
        <v>3677121</v>
      </c>
      <c r="I15" s="34">
        <f>J15+K15</f>
        <v>190494190.84000003</v>
      </c>
      <c r="J15" s="71">
        <f>J16</f>
        <v>167277640.28000003</v>
      </c>
      <c r="K15" s="71">
        <f t="shared" ref="K15" si="1">K16</f>
        <v>23216550.559999999</v>
      </c>
      <c r="L15" s="71">
        <f t="shared" ref="L15" si="2">L16</f>
        <v>0</v>
      </c>
      <c r="M15" s="24">
        <f>I15/E15</f>
        <v>0.71254219880261294</v>
      </c>
      <c r="N15" s="24">
        <f t="shared" ref="N15:P15" si="3">J15/F15</f>
        <v>0.63495671440004409</v>
      </c>
      <c r="O15" s="57" t="s">
        <v>438</v>
      </c>
      <c r="P15" s="57">
        <f t="shared" si="3"/>
        <v>0</v>
      </c>
    </row>
    <row r="16" spans="1:16" s="18" customFormat="1" ht="56.25" x14ac:dyDescent="0.25">
      <c r="A16" s="32" t="s">
        <v>59</v>
      </c>
      <c r="B16" s="32" t="s">
        <v>218</v>
      </c>
      <c r="C16" s="32" t="s">
        <v>218</v>
      </c>
      <c r="D16" s="33" t="s">
        <v>219</v>
      </c>
      <c r="E16" s="34">
        <f t="shared" ref="E16:E79" si="4">F16+G16</f>
        <v>267344434</v>
      </c>
      <c r="F16" s="34">
        <f>F17+F22+F23+F24+F25+F26+F27+F31+F32+F33+F38+F39+F46+F47+F48+F49+F50+F58+F59+F60+F61+F62+F63+F64+F65</f>
        <v>263447313</v>
      </c>
      <c r="G16" s="34">
        <f t="shared" ref="G16:H16" si="5">G17+G22+G23+G24+G25+G26+G27+G31+G32+G33+G38+G39+G46+G47+G48+G49+G50+G58+G59+G60+G61+G62+G63+G64+G65</f>
        <v>3897121</v>
      </c>
      <c r="H16" s="34">
        <f t="shared" si="5"/>
        <v>3677121</v>
      </c>
      <c r="I16" s="34">
        <f t="shared" ref="I16:I79" si="6">J16+K16</f>
        <v>190494190.84000003</v>
      </c>
      <c r="J16" s="71">
        <f>J17+J22+J23+J24+J25+J26+J27+J31+J32+J33+J38+J39+J46+J47+J48+J49+J50+J58+J59+J60+J61+J62+J63+J64+J65</f>
        <v>167277640.28000003</v>
      </c>
      <c r="K16" s="71">
        <f t="shared" ref="K16" si="7">K17+K22+K23+K24+K25+K26+K27+K31+K32+K33+K38+K39+K46+K47+K48+K49+K50+K58+K59+K60+K61+K62+K63+K64+K65</f>
        <v>23216550.559999999</v>
      </c>
      <c r="L16" s="71">
        <f t="shared" ref="L16" si="8">L17+L22+L23+L24+L25+L26+L27+L31+L32+L33+L38+L39+L46+L47+L48+L49+L50+L58+L59+L60+L61+L62+L63+L64+L65</f>
        <v>0</v>
      </c>
      <c r="M16" s="24">
        <f t="shared" ref="M16:M79" si="9">I16/E16</f>
        <v>0.71254219880261294</v>
      </c>
      <c r="N16" s="24">
        <f t="shared" ref="N16:N79" si="10">J16/F16</f>
        <v>0.63495671440004409</v>
      </c>
      <c r="O16" s="57" t="s">
        <v>438</v>
      </c>
      <c r="P16" s="57">
        <f t="shared" ref="P16:P67" si="11">L16/H16</f>
        <v>0</v>
      </c>
    </row>
    <row r="17" spans="1:16" s="16" customFormat="1" ht="93.75" x14ac:dyDescent="0.25">
      <c r="A17" s="35" t="s">
        <v>60</v>
      </c>
      <c r="B17" s="35" t="s">
        <v>49</v>
      </c>
      <c r="C17" s="35" t="s">
        <v>2</v>
      </c>
      <c r="D17" s="36" t="s">
        <v>220</v>
      </c>
      <c r="E17" s="37">
        <f t="shared" si="4"/>
        <v>113963100</v>
      </c>
      <c r="F17" s="37">
        <f>SUM(F18:F21)</f>
        <v>113843100</v>
      </c>
      <c r="G17" s="37">
        <f>SUM(G18:G21)</f>
        <v>120000</v>
      </c>
      <c r="H17" s="66">
        <v>0</v>
      </c>
      <c r="I17" s="37">
        <f t="shared" si="6"/>
        <v>96918086.689999998</v>
      </c>
      <c r="J17" s="72">
        <f>SUM(J18:J21)</f>
        <v>73701536.129999995</v>
      </c>
      <c r="K17" s="72">
        <f>SUM(K18:K21)</f>
        <v>23216550.559999999</v>
      </c>
      <c r="L17" s="79">
        <v>0</v>
      </c>
      <c r="M17" s="25">
        <f t="shared" si="9"/>
        <v>0.85043392720977229</v>
      </c>
      <c r="N17" s="25">
        <f t="shared" si="10"/>
        <v>0.64739572385151134</v>
      </c>
      <c r="O17" s="58" t="s">
        <v>433</v>
      </c>
      <c r="P17" s="58"/>
    </row>
    <row r="18" spans="1:16" s="15" customFormat="1" ht="56.25" x14ac:dyDescent="0.25">
      <c r="A18" s="38"/>
      <c r="B18" s="38"/>
      <c r="C18" s="38"/>
      <c r="D18" s="39" t="s">
        <v>219</v>
      </c>
      <c r="E18" s="40">
        <f t="shared" si="4"/>
        <v>101486798</v>
      </c>
      <c r="F18" s="40">
        <v>101366800</v>
      </c>
      <c r="G18" s="40">
        <v>119998</v>
      </c>
      <c r="H18" s="40"/>
      <c r="I18" s="40">
        <f t="shared" si="6"/>
        <v>88886050.569999993</v>
      </c>
      <c r="J18" s="73">
        <v>65669706.649999999</v>
      </c>
      <c r="K18" s="73">
        <f>23139671.84+76672.08</f>
        <v>23216343.919999998</v>
      </c>
      <c r="L18" s="73"/>
      <c r="M18" s="67">
        <f t="shared" si="9"/>
        <v>0.87583855557251888</v>
      </c>
      <c r="N18" s="67">
        <f t="shared" si="10"/>
        <v>0.64784235716230554</v>
      </c>
      <c r="O18" s="58" t="s">
        <v>433</v>
      </c>
      <c r="P18" s="68"/>
    </row>
    <row r="19" spans="1:16" s="15" customFormat="1" ht="56.25" x14ac:dyDescent="0.25">
      <c r="A19" s="38"/>
      <c r="B19" s="38"/>
      <c r="C19" s="38"/>
      <c r="D19" s="39" t="s">
        <v>199</v>
      </c>
      <c r="E19" s="40">
        <f t="shared" si="4"/>
        <v>5194801</v>
      </c>
      <c r="F19" s="40">
        <v>5194800</v>
      </c>
      <c r="G19" s="40">
        <v>1</v>
      </c>
      <c r="H19" s="40"/>
      <c r="I19" s="40">
        <f t="shared" si="6"/>
        <v>3146408.0300000003</v>
      </c>
      <c r="J19" s="73">
        <v>3146201.39</v>
      </c>
      <c r="K19" s="73">
        <f>206.64</f>
        <v>206.64</v>
      </c>
      <c r="L19" s="73"/>
      <c r="M19" s="67">
        <f t="shared" si="9"/>
        <v>0.60568403486485822</v>
      </c>
      <c r="N19" s="67">
        <f t="shared" si="10"/>
        <v>0.60564437321937326</v>
      </c>
      <c r="O19" s="58" t="s">
        <v>433</v>
      </c>
      <c r="P19" s="68"/>
    </row>
    <row r="20" spans="1:16" s="15" customFormat="1" ht="56.25" x14ac:dyDescent="0.25">
      <c r="A20" s="38"/>
      <c r="B20" s="38"/>
      <c r="C20" s="38"/>
      <c r="D20" s="39" t="s">
        <v>201</v>
      </c>
      <c r="E20" s="40">
        <f t="shared" si="4"/>
        <v>3000100</v>
      </c>
      <c r="F20" s="40">
        <v>3000100</v>
      </c>
      <c r="G20" s="40">
        <v>0</v>
      </c>
      <c r="H20" s="40"/>
      <c r="I20" s="40">
        <f t="shared" si="6"/>
        <v>2273860.4500000002</v>
      </c>
      <c r="J20" s="73">
        <v>2273860.4500000002</v>
      </c>
      <c r="K20" s="73"/>
      <c r="L20" s="73"/>
      <c r="M20" s="67">
        <f t="shared" si="9"/>
        <v>0.7579282190593648</v>
      </c>
      <c r="N20" s="67">
        <f t="shared" si="10"/>
        <v>0.7579282190593648</v>
      </c>
      <c r="O20" s="68"/>
      <c r="P20" s="68"/>
    </row>
    <row r="21" spans="1:16" s="15" customFormat="1" ht="56.25" x14ac:dyDescent="0.25">
      <c r="A21" s="38"/>
      <c r="B21" s="38"/>
      <c r="C21" s="38"/>
      <c r="D21" s="39" t="s">
        <v>200</v>
      </c>
      <c r="E21" s="40">
        <f t="shared" si="4"/>
        <v>4281401</v>
      </c>
      <c r="F21" s="40">
        <v>4281400</v>
      </c>
      <c r="G21" s="40">
        <v>1</v>
      </c>
      <c r="H21" s="40"/>
      <c r="I21" s="40">
        <f t="shared" si="6"/>
        <v>2611767.64</v>
      </c>
      <c r="J21" s="73">
        <v>2611767.64</v>
      </c>
      <c r="K21" s="73"/>
      <c r="L21" s="73"/>
      <c r="M21" s="67">
        <f t="shared" si="9"/>
        <v>0.61002640023674493</v>
      </c>
      <c r="N21" s="67">
        <f t="shared" si="10"/>
        <v>0.61002654271967116</v>
      </c>
      <c r="O21" s="68"/>
      <c r="P21" s="68"/>
    </row>
    <row r="22" spans="1:16" s="15" customFormat="1" ht="56.25" x14ac:dyDescent="0.25">
      <c r="A22" s="35" t="s">
        <v>101</v>
      </c>
      <c r="B22" s="35" t="s">
        <v>102</v>
      </c>
      <c r="C22" s="35" t="s">
        <v>103</v>
      </c>
      <c r="D22" s="36" t="s">
        <v>104</v>
      </c>
      <c r="E22" s="37">
        <f t="shared" si="4"/>
        <v>79300</v>
      </c>
      <c r="F22" s="37">
        <v>79300</v>
      </c>
      <c r="G22" s="37">
        <v>0</v>
      </c>
      <c r="H22" s="37">
        <v>0</v>
      </c>
      <c r="I22" s="37">
        <f t="shared" si="6"/>
        <v>79260</v>
      </c>
      <c r="J22" s="72">
        <v>79260</v>
      </c>
      <c r="K22" s="72">
        <v>0</v>
      </c>
      <c r="L22" s="72">
        <v>0</v>
      </c>
      <c r="M22" s="25">
        <f t="shared" si="9"/>
        <v>0.99949558638083225</v>
      </c>
      <c r="N22" s="25">
        <f t="shared" si="10"/>
        <v>0.99949558638083225</v>
      </c>
      <c r="O22" s="58"/>
      <c r="P22" s="58"/>
    </row>
    <row r="23" spans="1:16" s="16" customFormat="1" ht="37.5" x14ac:dyDescent="0.25">
      <c r="A23" s="35" t="s">
        <v>108</v>
      </c>
      <c r="B23" s="35" t="s">
        <v>9</v>
      </c>
      <c r="C23" s="35" t="s">
        <v>5</v>
      </c>
      <c r="D23" s="36" t="s">
        <v>98</v>
      </c>
      <c r="E23" s="37">
        <f t="shared" si="4"/>
        <v>3477400</v>
      </c>
      <c r="F23" s="37">
        <v>3477400</v>
      </c>
      <c r="G23" s="37">
        <v>0</v>
      </c>
      <c r="H23" s="37">
        <v>0</v>
      </c>
      <c r="I23" s="37">
        <f t="shared" si="6"/>
        <v>2283998.7999999998</v>
      </c>
      <c r="J23" s="72">
        <v>2283998.7999999998</v>
      </c>
      <c r="K23" s="72">
        <v>0</v>
      </c>
      <c r="L23" s="72">
        <v>0</v>
      </c>
      <c r="M23" s="25">
        <f t="shared" si="9"/>
        <v>0.65681221602346573</v>
      </c>
      <c r="N23" s="25">
        <f t="shared" si="10"/>
        <v>0.65681221602346573</v>
      </c>
      <c r="O23" s="58"/>
      <c r="P23" s="58"/>
    </row>
    <row r="24" spans="1:16" s="16" customFormat="1" ht="37.5" x14ac:dyDescent="0.25">
      <c r="A24" s="35" t="s">
        <v>61</v>
      </c>
      <c r="B24" s="35" t="s">
        <v>29</v>
      </c>
      <c r="C24" s="35" t="s">
        <v>30</v>
      </c>
      <c r="D24" s="36" t="s">
        <v>144</v>
      </c>
      <c r="E24" s="37">
        <f t="shared" si="4"/>
        <v>47565627</v>
      </c>
      <c r="F24" s="37">
        <v>47565627</v>
      </c>
      <c r="G24" s="37">
        <v>0</v>
      </c>
      <c r="H24" s="37">
        <v>0</v>
      </c>
      <c r="I24" s="37">
        <f t="shared" si="6"/>
        <v>29784624.789999999</v>
      </c>
      <c r="J24" s="72">
        <v>29784624.789999999</v>
      </c>
      <c r="K24" s="72">
        <v>0</v>
      </c>
      <c r="L24" s="72">
        <v>0</v>
      </c>
      <c r="M24" s="25">
        <f t="shared" si="9"/>
        <v>0.62617958951744712</v>
      </c>
      <c r="N24" s="25">
        <f t="shared" si="10"/>
        <v>0.62617958951744712</v>
      </c>
      <c r="O24" s="58"/>
      <c r="P24" s="58"/>
    </row>
    <row r="25" spans="1:16" s="16" customFormat="1" ht="18.75" x14ac:dyDescent="0.25">
      <c r="A25" s="35" t="s">
        <v>62</v>
      </c>
      <c r="B25" s="35" t="s">
        <v>50</v>
      </c>
      <c r="C25" s="35" t="s">
        <v>31</v>
      </c>
      <c r="D25" s="36" t="s">
        <v>221</v>
      </c>
      <c r="E25" s="37">
        <f t="shared" si="4"/>
        <v>9215600</v>
      </c>
      <c r="F25" s="37">
        <v>9215600</v>
      </c>
      <c r="G25" s="37">
        <v>0</v>
      </c>
      <c r="H25" s="37">
        <v>0</v>
      </c>
      <c r="I25" s="37">
        <f t="shared" si="6"/>
        <v>6510482.54</v>
      </c>
      <c r="J25" s="72">
        <v>6510482.54</v>
      </c>
      <c r="K25" s="72">
        <v>0</v>
      </c>
      <c r="L25" s="72">
        <v>0</v>
      </c>
      <c r="M25" s="25">
        <f t="shared" si="9"/>
        <v>0.70646322974087417</v>
      </c>
      <c r="N25" s="25">
        <f t="shared" si="10"/>
        <v>0.70646322974087417</v>
      </c>
      <c r="O25" s="58"/>
      <c r="P25" s="58"/>
    </row>
    <row r="26" spans="1:16" s="16" customFormat="1" ht="56.25" x14ac:dyDescent="0.25">
      <c r="A26" s="35" t="s">
        <v>222</v>
      </c>
      <c r="B26" s="35" t="s">
        <v>295</v>
      </c>
      <c r="C26" s="35" t="s">
        <v>223</v>
      </c>
      <c r="D26" s="36" t="s">
        <v>224</v>
      </c>
      <c r="E26" s="37">
        <f t="shared" si="4"/>
        <v>4832200</v>
      </c>
      <c r="F26" s="37">
        <v>4832200</v>
      </c>
      <c r="G26" s="37">
        <v>0</v>
      </c>
      <c r="H26" s="37">
        <v>0</v>
      </c>
      <c r="I26" s="37">
        <f t="shared" si="6"/>
        <v>2970786.58</v>
      </c>
      <c r="J26" s="72">
        <v>2970786.58</v>
      </c>
      <c r="K26" s="72">
        <v>0</v>
      </c>
      <c r="L26" s="72">
        <v>0</v>
      </c>
      <c r="M26" s="25">
        <f t="shared" si="9"/>
        <v>0.61478965688506271</v>
      </c>
      <c r="N26" s="25">
        <f t="shared" si="10"/>
        <v>0.61478965688506271</v>
      </c>
      <c r="O26" s="58"/>
      <c r="P26" s="58"/>
    </row>
    <row r="27" spans="1:16" s="16" customFormat="1" ht="37.5" x14ac:dyDescent="0.25">
      <c r="A27" s="35" t="s">
        <v>225</v>
      </c>
      <c r="B27" s="35" t="s">
        <v>174</v>
      </c>
      <c r="C27" s="35" t="s">
        <v>119</v>
      </c>
      <c r="D27" s="36" t="s">
        <v>226</v>
      </c>
      <c r="E27" s="37">
        <f t="shared" si="4"/>
        <v>11071859</v>
      </c>
      <c r="F27" s="37">
        <f>SUM(F28:F30)</f>
        <v>11071859</v>
      </c>
      <c r="G27" s="37">
        <v>0</v>
      </c>
      <c r="H27" s="37">
        <v>0</v>
      </c>
      <c r="I27" s="37">
        <f t="shared" si="6"/>
        <v>8586921.9400000013</v>
      </c>
      <c r="J27" s="72">
        <f>SUM(J28:J30)</f>
        <v>8586921.9400000013</v>
      </c>
      <c r="K27" s="72">
        <v>0</v>
      </c>
      <c r="L27" s="72">
        <v>0</v>
      </c>
      <c r="M27" s="25">
        <f t="shared" si="9"/>
        <v>0.77556279753923907</v>
      </c>
      <c r="N27" s="25">
        <f t="shared" si="10"/>
        <v>0.77556279753923907</v>
      </c>
      <c r="O27" s="58"/>
      <c r="P27" s="58"/>
    </row>
    <row r="28" spans="1:16" s="15" customFormat="1" ht="56.25" x14ac:dyDescent="0.25">
      <c r="A28" s="38"/>
      <c r="B28" s="38"/>
      <c r="C28" s="38"/>
      <c r="D28" s="39" t="s">
        <v>296</v>
      </c>
      <c r="E28" s="40">
        <f t="shared" si="4"/>
        <v>1325319</v>
      </c>
      <c r="F28" s="40">
        <v>1325319</v>
      </c>
      <c r="G28" s="40"/>
      <c r="H28" s="40"/>
      <c r="I28" s="40">
        <f t="shared" si="6"/>
        <v>976784.16</v>
      </c>
      <c r="J28" s="73">
        <v>976784.16</v>
      </c>
      <c r="K28" s="73"/>
      <c r="L28" s="73"/>
      <c r="M28" s="67">
        <f t="shared" si="9"/>
        <v>0.73701815185627007</v>
      </c>
      <c r="N28" s="67">
        <f t="shared" si="10"/>
        <v>0.73701815185627007</v>
      </c>
      <c r="O28" s="68"/>
      <c r="P28" s="68"/>
    </row>
    <row r="29" spans="1:16" s="15" customFormat="1" ht="75" x14ac:dyDescent="0.25">
      <c r="A29" s="38"/>
      <c r="B29" s="38"/>
      <c r="C29" s="38"/>
      <c r="D29" s="39" t="s">
        <v>297</v>
      </c>
      <c r="E29" s="40">
        <f t="shared" si="4"/>
        <v>6746540</v>
      </c>
      <c r="F29" s="40">
        <v>6746540</v>
      </c>
      <c r="G29" s="40"/>
      <c r="H29" s="40"/>
      <c r="I29" s="40">
        <f t="shared" si="6"/>
        <v>5350581.78</v>
      </c>
      <c r="J29" s="73">
        <v>5350581.78</v>
      </c>
      <c r="K29" s="73"/>
      <c r="L29" s="73"/>
      <c r="M29" s="67">
        <f t="shared" si="9"/>
        <v>0.79308531187838516</v>
      </c>
      <c r="N29" s="67">
        <f t="shared" si="10"/>
        <v>0.79308531187838516</v>
      </c>
      <c r="O29" s="68"/>
      <c r="P29" s="68"/>
    </row>
    <row r="30" spans="1:16" s="15" customFormat="1" ht="56.25" x14ac:dyDescent="0.25">
      <c r="A30" s="38"/>
      <c r="B30" s="38"/>
      <c r="C30" s="38"/>
      <c r="D30" s="39" t="s">
        <v>298</v>
      </c>
      <c r="E30" s="40">
        <f t="shared" si="4"/>
        <v>3000000</v>
      </c>
      <c r="F30" s="40">
        <v>3000000</v>
      </c>
      <c r="G30" s="40"/>
      <c r="H30" s="40"/>
      <c r="I30" s="40">
        <f t="shared" si="6"/>
        <v>2259556</v>
      </c>
      <c r="J30" s="73">
        <v>2259556</v>
      </c>
      <c r="K30" s="73"/>
      <c r="L30" s="73"/>
      <c r="M30" s="67">
        <f t="shared" si="9"/>
        <v>0.75318533333333337</v>
      </c>
      <c r="N30" s="67">
        <f t="shared" si="10"/>
        <v>0.75318533333333337</v>
      </c>
      <c r="O30" s="68"/>
      <c r="P30" s="68"/>
    </row>
    <row r="31" spans="1:16" s="16" customFormat="1" ht="75" x14ac:dyDescent="0.25">
      <c r="A31" s="41" t="s">
        <v>356</v>
      </c>
      <c r="B31" s="41" t="s">
        <v>357</v>
      </c>
      <c r="C31" s="41" t="s">
        <v>119</v>
      </c>
      <c r="D31" s="36" t="s">
        <v>358</v>
      </c>
      <c r="E31" s="37">
        <f t="shared" si="4"/>
        <v>2333054</v>
      </c>
      <c r="F31" s="37">
        <v>0</v>
      </c>
      <c r="G31" s="37">
        <v>2333054</v>
      </c>
      <c r="H31" s="37">
        <v>2333054</v>
      </c>
      <c r="I31" s="37">
        <f t="shared" si="6"/>
        <v>0</v>
      </c>
      <c r="J31" s="72">
        <v>0</v>
      </c>
      <c r="K31" s="72"/>
      <c r="L31" s="72"/>
      <c r="M31" s="25">
        <f t="shared" si="9"/>
        <v>0</v>
      </c>
      <c r="N31" s="25"/>
      <c r="O31" s="58">
        <f t="shared" ref="O31:O78" si="12">K31/G31</f>
        <v>0</v>
      </c>
      <c r="P31" s="58">
        <f t="shared" si="11"/>
        <v>0</v>
      </c>
    </row>
    <row r="32" spans="1:16" s="15" customFormat="1" ht="37.5" x14ac:dyDescent="0.25">
      <c r="A32" s="35" t="s">
        <v>137</v>
      </c>
      <c r="B32" s="35" t="s">
        <v>136</v>
      </c>
      <c r="C32" s="35" t="s">
        <v>3</v>
      </c>
      <c r="D32" s="36" t="s">
        <v>359</v>
      </c>
      <c r="E32" s="37">
        <f t="shared" si="4"/>
        <v>3000000</v>
      </c>
      <c r="F32" s="37">
        <v>3000000</v>
      </c>
      <c r="G32" s="37">
        <v>0</v>
      </c>
      <c r="H32" s="37">
        <v>0</v>
      </c>
      <c r="I32" s="37">
        <f t="shared" si="6"/>
        <v>1513500</v>
      </c>
      <c r="J32" s="72">
        <v>1513500</v>
      </c>
      <c r="K32" s="72">
        <v>0</v>
      </c>
      <c r="L32" s="72">
        <v>0</v>
      </c>
      <c r="M32" s="25">
        <f t="shared" si="9"/>
        <v>0.50449999999999995</v>
      </c>
      <c r="N32" s="25">
        <f t="shared" si="10"/>
        <v>0.50449999999999995</v>
      </c>
      <c r="O32" s="58"/>
      <c r="P32" s="58"/>
    </row>
    <row r="33" spans="1:18" s="15" customFormat="1" ht="18.75" x14ac:dyDescent="0.25">
      <c r="A33" s="35" t="s">
        <v>63</v>
      </c>
      <c r="B33" s="35" t="s">
        <v>38</v>
      </c>
      <c r="C33" s="35" t="s">
        <v>8</v>
      </c>
      <c r="D33" s="36" t="s">
        <v>227</v>
      </c>
      <c r="E33" s="37">
        <f t="shared" si="4"/>
        <v>20025900</v>
      </c>
      <c r="F33" s="37">
        <f>SUM(F34:F37)</f>
        <v>20025900</v>
      </c>
      <c r="G33" s="37">
        <v>0</v>
      </c>
      <c r="H33" s="37">
        <v>0</v>
      </c>
      <c r="I33" s="37">
        <f t="shared" si="6"/>
        <v>14420332.49</v>
      </c>
      <c r="J33" s="72">
        <f>SUM(J34:J37)</f>
        <v>14420332.49</v>
      </c>
      <c r="K33" s="72">
        <v>0</v>
      </c>
      <c r="L33" s="72">
        <v>0</v>
      </c>
      <c r="M33" s="25">
        <f t="shared" si="9"/>
        <v>0.72008411557033647</v>
      </c>
      <c r="N33" s="25">
        <f t="shared" si="10"/>
        <v>0.72008411557033647</v>
      </c>
      <c r="O33" s="58"/>
      <c r="P33" s="58"/>
    </row>
    <row r="34" spans="1:18" s="15" customFormat="1" ht="56.25" x14ac:dyDescent="0.25">
      <c r="A34" s="38"/>
      <c r="B34" s="38"/>
      <c r="C34" s="38"/>
      <c r="D34" s="39" t="s">
        <v>199</v>
      </c>
      <c r="E34" s="40">
        <f t="shared" si="4"/>
        <v>11017400</v>
      </c>
      <c r="F34" s="40">
        <v>11017400</v>
      </c>
      <c r="G34" s="40">
        <v>0</v>
      </c>
      <c r="H34" s="40"/>
      <c r="I34" s="40">
        <f t="shared" si="6"/>
        <v>9439438.0099999998</v>
      </c>
      <c r="J34" s="73">
        <v>9439438.0099999998</v>
      </c>
      <c r="K34" s="73">
        <v>0</v>
      </c>
      <c r="L34" s="73"/>
      <c r="M34" s="67">
        <f t="shared" si="9"/>
        <v>0.8567754651732713</v>
      </c>
      <c r="N34" s="67">
        <f t="shared" si="10"/>
        <v>0.8567754651732713</v>
      </c>
      <c r="O34" s="68"/>
      <c r="P34" s="68"/>
    </row>
    <row r="35" spans="1:18" s="15" customFormat="1" ht="56.25" x14ac:dyDescent="0.25">
      <c r="A35" s="38"/>
      <c r="B35" s="38"/>
      <c r="C35" s="38"/>
      <c r="D35" s="39" t="s">
        <v>201</v>
      </c>
      <c r="E35" s="40">
        <f t="shared" si="4"/>
        <v>2811900</v>
      </c>
      <c r="F35" s="40">
        <v>2811900</v>
      </c>
      <c r="G35" s="40">
        <v>0</v>
      </c>
      <c r="H35" s="40"/>
      <c r="I35" s="40">
        <f t="shared" si="6"/>
        <v>1698953.57</v>
      </c>
      <c r="J35" s="73">
        <v>1698953.57</v>
      </c>
      <c r="K35" s="73">
        <v>0</v>
      </c>
      <c r="L35" s="73"/>
      <c r="M35" s="67">
        <f t="shared" si="9"/>
        <v>0.60420127671681068</v>
      </c>
      <c r="N35" s="67">
        <f t="shared" si="10"/>
        <v>0.60420127671681068</v>
      </c>
      <c r="O35" s="68"/>
      <c r="P35" s="68"/>
    </row>
    <row r="36" spans="1:18" s="15" customFormat="1" ht="56.25" x14ac:dyDescent="0.25">
      <c r="A36" s="38"/>
      <c r="B36" s="38"/>
      <c r="C36" s="38"/>
      <c r="D36" s="39" t="s">
        <v>200</v>
      </c>
      <c r="E36" s="40">
        <f t="shared" si="4"/>
        <v>4944600</v>
      </c>
      <c r="F36" s="40">
        <v>4944600</v>
      </c>
      <c r="G36" s="40">
        <v>0</v>
      </c>
      <c r="H36" s="40"/>
      <c r="I36" s="40">
        <f t="shared" si="6"/>
        <v>3281940.91</v>
      </c>
      <c r="J36" s="73">
        <v>3281940.91</v>
      </c>
      <c r="K36" s="73">
        <v>0</v>
      </c>
      <c r="L36" s="73"/>
      <c r="M36" s="67">
        <f t="shared" si="9"/>
        <v>0.66374244832746843</v>
      </c>
      <c r="N36" s="67">
        <f t="shared" si="10"/>
        <v>0.66374244832746843</v>
      </c>
      <c r="O36" s="68"/>
      <c r="P36" s="68"/>
    </row>
    <row r="37" spans="1:18" s="15" customFormat="1" ht="56.25" x14ac:dyDescent="0.25">
      <c r="A37" s="38"/>
      <c r="B37" s="38"/>
      <c r="C37" s="38"/>
      <c r="D37" s="39" t="s">
        <v>296</v>
      </c>
      <c r="E37" s="40">
        <f t="shared" si="4"/>
        <v>1252000</v>
      </c>
      <c r="F37" s="40">
        <v>1252000</v>
      </c>
      <c r="G37" s="40"/>
      <c r="H37" s="40"/>
      <c r="I37" s="40">
        <f t="shared" si="6"/>
        <v>0</v>
      </c>
      <c r="J37" s="73">
        <v>0</v>
      </c>
      <c r="K37" s="73"/>
      <c r="L37" s="73"/>
      <c r="M37" s="67">
        <f t="shared" si="9"/>
        <v>0</v>
      </c>
      <c r="N37" s="67">
        <f t="shared" si="10"/>
        <v>0</v>
      </c>
      <c r="O37" s="68"/>
      <c r="P37" s="68"/>
      <c r="Q37" s="27"/>
    </row>
    <row r="38" spans="1:18" s="15" customFormat="1" ht="56.25" x14ac:dyDescent="0.25">
      <c r="A38" s="41" t="s">
        <v>360</v>
      </c>
      <c r="B38" s="41" t="s">
        <v>361</v>
      </c>
      <c r="C38" s="41" t="s">
        <v>117</v>
      </c>
      <c r="D38" s="36" t="s">
        <v>362</v>
      </c>
      <c r="E38" s="37">
        <f t="shared" si="4"/>
        <v>1424067</v>
      </c>
      <c r="F38" s="37">
        <v>80000</v>
      </c>
      <c r="G38" s="37">
        <v>1344067</v>
      </c>
      <c r="H38" s="37">
        <v>1344067</v>
      </c>
      <c r="I38" s="37">
        <f t="shared" si="6"/>
        <v>80000</v>
      </c>
      <c r="J38" s="72">
        <v>80000</v>
      </c>
      <c r="K38" s="72"/>
      <c r="L38" s="72"/>
      <c r="M38" s="25">
        <f t="shared" si="9"/>
        <v>5.6177132115272664E-2</v>
      </c>
      <c r="N38" s="25">
        <f t="shared" si="10"/>
        <v>1</v>
      </c>
      <c r="O38" s="58">
        <f t="shared" si="12"/>
        <v>0</v>
      </c>
      <c r="P38" s="58">
        <f t="shared" si="11"/>
        <v>0</v>
      </c>
      <c r="Q38" s="27"/>
    </row>
    <row r="39" spans="1:18" s="15" customFormat="1" ht="37.5" x14ac:dyDescent="0.25">
      <c r="A39" s="41" t="s">
        <v>299</v>
      </c>
      <c r="B39" s="41" t="s">
        <v>300</v>
      </c>
      <c r="C39" s="41" t="s">
        <v>301</v>
      </c>
      <c r="D39" s="36" t="s">
        <v>302</v>
      </c>
      <c r="E39" s="37">
        <f t="shared" si="4"/>
        <v>1722200</v>
      </c>
      <c r="F39" s="37">
        <f>SUM(F40:F45)</f>
        <v>1722200</v>
      </c>
      <c r="G39" s="37">
        <v>0</v>
      </c>
      <c r="H39" s="37">
        <v>0</v>
      </c>
      <c r="I39" s="37">
        <f t="shared" si="6"/>
        <v>765653.46</v>
      </c>
      <c r="J39" s="72">
        <f>SUM(J40:J45)</f>
        <v>765653.46</v>
      </c>
      <c r="K39" s="72">
        <v>0</v>
      </c>
      <c r="L39" s="72">
        <v>0</v>
      </c>
      <c r="M39" s="25">
        <f t="shared" si="9"/>
        <v>0.44457871327371962</v>
      </c>
      <c r="N39" s="25">
        <f t="shared" si="10"/>
        <v>0.44457871327371962</v>
      </c>
      <c r="O39" s="58"/>
      <c r="P39" s="58"/>
      <c r="Q39" s="27"/>
    </row>
    <row r="40" spans="1:18" s="16" customFormat="1" ht="56.25" x14ac:dyDescent="0.25">
      <c r="A40" s="41"/>
      <c r="B40" s="41"/>
      <c r="C40" s="41"/>
      <c r="D40" s="36" t="s">
        <v>219</v>
      </c>
      <c r="E40" s="37">
        <f t="shared" si="4"/>
        <v>1359700</v>
      </c>
      <c r="F40" s="37">
        <v>1359700</v>
      </c>
      <c r="G40" s="37">
        <v>0</v>
      </c>
      <c r="H40" s="37"/>
      <c r="I40" s="37">
        <f t="shared" si="6"/>
        <v>566042.36</v>
      </c>
      <c r="J40" s="72">
        <v>566042.36</v>
      </c>
      <c r="K40" s="72">
        <v>0</v>
      </c>
      <c r="L40" s="72"/>
      <c r="M40" s="25">
        <f t="shared" si="9"/>
        <v>0.41629944840773697</v>
      </c>
      <c r="N40" s="25">
        <f t="shared" si="10"/>
        <v>0.41629944840773697</v>
      </c>
      <c r="O40" s="58"/>
      <c r="P40" s="58"/>
      <c r="Q40" s="17"/>
    </row>
    <row r="41" spans="1:18" s="16" customFormat="1" ht="56.25" x14ac:dyDescent="0.25">
      <c r="A41" s="41"/>
      <c r="B41" s="41"/>
      <c r="C41" s="41"/>
      <c r="D41" s="36" t="s">
        <v>199</v>
      </c>
      <c r="E41" s="37">
        <f t="shared" si="4"/>
        <v>71300</v>
      </c>
      <c r="F41" s="37">
        <v>71300</v>
      </c>
      <c r="G41" s="37">
        <v>0</v>
      </c>
      <c r="H41" s="37"/>
      <c r="I41" s="37">
        <f t="shared" si="6"/>
        <v>4958</v>
      </c>
      <c r="J41" s="72">
        <v>4958</v>
      </c>
      <c r="K41" s="72">
        <v>0</v>
      </c>
      <c r="L41" s="72"/>
      <c r="M41" s="25">
        <f t="shared" si="9"/>
        <v>6.9537166900420763E-2</v>
      </c>
      <c r="N41" s="25">
        <f t="shared" si="10"/>
        <v>6.9537166900420763E-2</v>
      </c>
      <c r="O41" s="58"/>
      <c r="P41" s="58"/>
      <c r="R41" s="69"/>
    </row>
    <row r="42" spans="1:18" s="16" customFormat="1" ht="56.25" x14ac:dyDescent="0.25">
      <c r="A42" s="41"/>
      <c r="B42" s="41"/>
      <c r="C42" s="41"/>
      <c r="D42" s="36" t="s">
        <v>201</v>
      </c>
      <c r="E42" s="37">
        <f t="shared" si="4"/>
        <v>20900</v>
      </c>
      <c r="F42" s="37">
        <v>20900</v>
      </c>
      <c r="G42" s="37"/>
      <c r="H42" s="37"/>
      <c r="I42" s="37">
        <f t="shared" si="6"/>
        <v>7894.5</v>
      </c>
      <c r="J42" s="72">
        <v>7894.5</v>
      </c>
      <c r="K42" s="72"/>
      <c r="L42" s="72"/>
      <c r="M42" s="25">
        <f t="shared" si="9"/>
        <v>0.37772727272727274</v>
      </c>
      <c r="N42" s="25">
        <f t="shared" si="10"/>
        <v>0.37772727272727274</v>
      </c>
      <c r="O42" s="58"/>
      <c r="P42" s="58"/>
      <c r="R42" s="69"/>
    </row>
    <row r="43" spans="1:18" s="16" customFormat="1" ht="56.25" x14ac:dyDescent="0.25">
      <c r="A43" s="41"/>
      <c r="B43" s="41"/>
      <c r="C43" s="41"/>
      <c r="D43" s="36" t="s">
        <v>200</v>
      </c>
      <c r="E43" s="37">
        <f t="shared" si="4"/>
        <v>11500</v>
      </c>
      <c r="F43" s="37">
        <v>11500</v>
      </c>
      <c r="G43" s="37">
        <v>0</v>
      </c>
      <c r="H43" s="37"/>
      <c r="I43" s="37">
        <f t="shared" si="6"/>
        <v>4400</v>
      </c>
      <c r="J43" s="72">
        <v>4400</v>
      </c>
      <c r="K43" s="72">
        <v>0</v>
      </c>
      <c r="L43" s="72"/>
      <c r="M43" s="25">
        <f t="shared" si="9"/>
        <v>0.38260869565217392</v>
      </c>
      <c r="N43" s="25">
        <f t="shared" si="10"/>
        <v>0.38260869565217392</v>
      </c>
      <c r="O43" s="58"/>
      <c r="P43" s="58"/>
    </row>
    <row r="44" spans="1:18" s="16" customFormat="1" ht="75" x14ac:dyDescent="0.25">
      <c r="A44" s="41"/>
      <c r="B44" s="41"/>
      <c r="C44" s="41"/>
      <c r="D44" s="36" t="s">
        <v>297</v>
      </c>
      <c r="E44" s="37">
        <f t="shared" si="4"/>
        <v>132900</v>
      </c>
      <c r="F44" s="37">
        <v>132900</v>
      </c>
      <c r="G44" s="37">
        <v>0</v>
      </c>
      <c r="H44" s="37"/>
      <c r="I44" s="37">
        <f t="shared" si="6"/>
        <v>117189</v>
      </c>
      <c r="J44" s="72">
        <v>117189</v>
      </c>
      <c r="K44" s="72">
        <v>0</v>
      </c>
      <c r="L44" s="72"/>
      <c r="M44" s="25">
        <f t="shared" si="9"/>
        <v>0.88178329571106095</v>
      </c>
      <c r="N44" s="25">
        <f t="shared" si="10"/>
        <v>0.88178329571106095</v>
      </c>
      <c r="O44" s="58"/>
      <c r="P44" s="58"/>
    </row>
    <row r="45" spans="1:18" s="16" customFormat="1" ht="56.25" x14ac:dyDescent="0.25">
      <c r="A45" s="41"/>
      <c r="B45" s="41"/>
      <c r="C45" s="41"/>
      <c r="D45" s="36" t="s">
        <v>303</v>
      </c>
      <c r="E45" s="37">
        <f t="shared" si="4"/>
        <v>125900</v>
      </c>
      <c r="F45" s="37">
        <v>125900</v>
      </c>
      <c r="G45" s="37">
        <v>0</v>
      </c>
      <c r="H45" s="37"/>
      <c r="I45" s="37">
        <f t="shared" si="6"/>
        <v>65169.599999999999</v>
      </c>
      <c r="J45" s="72">
        <v>65169.599999999999</v>
      </c>
      <c r="K45" s="72">
        <v>0</v>
      </c>
      <c r="L45" s="72"/>
      <c r="M45" s="25">
        <f t="shared" si="9"/>
        <v>0.51762986497220009</v>
      </c>
      <c r="N45" s="25">
        <f t="shared" si="10"/>
        <v>0.51762986497220009</v>
      </c>
      <c r="O45" s="58"/>
      <c r="P45" s="58"/>
    </row>
    <row r="46" spans="1:18" s="16" customFormat="1" ht="37.5" x14ac:dyDescent="0.25">
      <c r="A46" s="41" t="s">
        <v>363</v>
      </c>
      <c r="B46" s="41" t="s">
        <v>364</v>
      </c>
      <c r="C46" s="41" t="s">
        <v>365</v>
      </c>
      <c r="D46" s="36" t="s">
        <v>366</v>
      </c>
      <c r="E46" s="37">
        <f t="shared" si="4"/>
        <v>500000</v>
      </c>
      <c r="F46" s="37">
        <v>500000</v>
      </c>
      <c r="G46" s="37">
        <v>0</v>
      </c>
      <c r="H46" s="37"/>
      <c r="I46" s="37">
        <f t="shared" si="6"/>
        <v>0</v>
      </c>
      <c r="J46" s="72"/>
      <c r="K46" s="72">
        <v>0</v>
      </c>
      <c r="L46" s="72"/>
      <c r="M46" s="25">
        <f t="shared" si="9"/>
        <v>0</v>
      </c>
      <c r="N46" s="25">
        <f t="shared" si="10"/>
        <v>0</v>
      </c>
      <c r="O46" s="58"/>
      <c r="P46" s="58"/>
    </row>
    <row r="47" spans="1:18" s="16" customFormat="1" ht="18.75" x14ac:dyDescent="0.25">
      <c r="A47" s="41" t="s">
        <v>291</v>
      </c>
      <c r="B47" s="41" t="s">
        <v>304</v>
      </c>
      <c r="C47" s="41" t="s">
        <v>6</v>
      </c>
      <c r="D47" s="36" t="s">
        <v>7</v>
      </c>
      <c r="E47" s="37">
        <f t="shared" si="4"/>
        <v>374197</v>
      </c>
      <c r="F47" s="37">
        <v>374197</v>
      </c>
      <c r="G47" s="37">
        <v>0</v>
      </c>
      <c r="H47" s="37"/>
      <c r="I47" s="37">
        <f t="shared" si="6"/>
        <v>374196.75</v>
      </c>
      <c r="J47" s="72">
        <v>374196.75</v>
      </c>
      <c r="K47" s="72">
        <v>0</v>
      </c>
      <c r="L47" s="72"/>
      <c r="M47" s="25">
        <f t="shared" si="9"/>
        <v>0.99999933190271439</v>
      </c>
      <c r="N47" s="25">
        <f t="shared" si="10"/>
        <v>0.99999933190271439</v>
      </c>
      <c r="O47" s="58"/>
      <c r="P47" s="58"/>
    </row>
    <row r="48" spans="1:18" s="16" customFormat="1" ht="37.5" x14ac:dyDescent="0.25">
      <c r="A48" s="35" t="s">
        <v>106</v>
      </c>
      <c r="B48" s="35" t="s">
        <v>105</v>
      </c>
      <c r="C48" s="35" t="s">
        <v>21</v>
      </c>
      <c r="D48" s="36" t="s">
        <v>107</v>
      </c>
      <c r="E48" s="37">
        <f t="shared" si="4"/>
        <v>232000</v>
      </c>
      <c r="F48" s="37">
        <v>232000</v>
      </c>
      <c r="G48" s="37">
        <v>0</v>
      </c>
      <c r="H48" s="37">
        <v>0</v>
      </c>
      <c r="I48" s="37">
        <f t="shared" si="6"/>
        <v>161053.70000000001</v>
      </c>
      <c r="J48" s="72">
        <v>161053.70000000001</v>
      </c>
      <c r="K48" s="72">
        <v>0</v>
      </c>
      <c r="L48" s="72">
        <v>0</v>
      </c>
      <c r="M48" s="25">
        <f t="shared" si="9"/>
        <v>0.69419698275862074</v>
      </c>
      <c r="N48" s="25">
        <f t="shared" si="10"/>
        <v>0.69419698275862074</v>
      </c>
      <c r="O48" s="58"/>
      <c r="P48" s="58"/>
    </row>
    <row r="49" spans="1:16" s="16" customFormat="1" ht="37.5" x14ac:dyDescent="0.25">
      <c r="A49" s="41" t="s">
        <v>367</v>
      </c>
      <c r="B49" s="35">
        <v>7693</v>
      </c>
      <c r="C49" s="41" t="s">
        <v>21</v>
      </c>
      <c r="D49" s="36" t="s">
        <v>368</v>
      </c>
      <c r="E49" s="37">
        <f t="shared" si="4"/>
        <v>3068045</v>
      </c>
      <c r="F49" s="37">
        <v>3068045</v>
      </c>
      <c r="G49" s="37">
        <v>0</v>
      </c>
      <c r="H49" s="37">
        <v>0</v>
      </c>
      <c r="I49" s="37">
        <f t="shared" si="6"/>
        <v>0</v>
      </c>
      <c r="J49" s="72"/>
      <c r="K49" s="72">
        <v>0</v>
      </c>
      <c r="L49" s="72">
        <v>0</v>
      </c>
      <c r="M49" s="25">
        <f t="shared" si="9"/>
        <v>0</v>
      </c>
      <c r="N49" s="25">
        <f t="shared" si="10"/>
        <v>0</v>
      </c>
      <c r="O49" s="58"/>
      <c r="P49" s="58"/>
    </row>
    <row r="50" spans="1:16" s="15" customFormat="1" ht="56.25" x14ac:dyDescent="0.25">
      <c r="A50" s="41" t="s">
        <v>305</v>
      </c>
      <c r="B50" s="41">
        <v>8110</v>
      </c>
      <c r="C50" s="41" t="s">
        <v>4</v>
      </c>
      <c r="D50" s="36" t="s">
        <v>127</v>
      </c>
      <c r="E50" s="37">
        <f t="shared" si="4"/>
        <v>7326450</v>
      </c>
      <c r="F50" s="37">
        <f>SUM(F51:F57)</f>
        <v>7326450</v>
      </c>
      <c r="G50" s="37"/>
      <c r="H50" s="37"/>
      <c r="I50" s="37">
        <f t="shared" si="6"/>
        <v>1386557.68</v>
      </c>
      <c r="J50" s="72">
        <f>SUM(J51:J57)</f>
        <v>1386557.68</v>
      </c>
      <c r="K50" s="72"/>
      <c r="L50" s="72"/>
      <c r="M50" s="25">
        <f t="shared" si="9"/>
        <v>0.18925368766592277</v>
      </c>
      <c r="N50" s="25">
        <f t="shared" si="10"/>
        <v>0.18925368766592277</v>
      </c>
      <c r="O50" s="58"/>
      <c r="P50" s="58"/>
    </row>
    <row r="51" spans="1:16" s="15" customFormat="1" ht="56.25" x14ac:dyDescent="0.25">
      <c r="A51" s="42"/>
      <c r="B51" s="42"/>
      <c r="C51" s="42"/>
      <c r="D51" s="39" t="s">
        <v>219</v>
      </c>
      <c r="E51" s="40">
        <f t="shared" si="4"/>
        <v>5868850</v>
      </c>
      <c r="F51" s="40">
        <v>5868850</v>
      </c>
      <c r="G51" s="40"/>
      <c r="H51" s="40"/>
      <c r="I51" s="40">
        <f t="shared" si="6"/>
        <v>199314.48</v>
      </c>
      <c r="J51" s="73">
        <v>199314.48</v>
      </c>
      <c r="K51" s="73"/>
      <c r="L51" s="73"/>
      <c r="M51" s="67">
        <f t="shared" si="9"/>
        <v>3.3961420039701137E-2</v>
      </c>
      <c r="N51" s="67">
        <f t="shared" si="10"/>
        <v>3.3961420039701137E-2</v>
      </c>
      <c r="O51" s="68"/>
      <c r="P51" s="68"/>
    </row>
    <row r="52" spans="1:16" s="15" customFormat="1" ht="56.25" x14ac:dyDescent="0.25">
      <c r="A52" s="42"/>
      <c r="B52" s="42"/>
      <c r="C52" s="42"/>
      <c r="D52" s="39" t="s">
        <v>199</v>
      </c>
      <c r="E52" s="40">
        <f t="shared" si="4"/>
        <v>116500</v>
      </c>
      <c r="F52" s="40">
        <v>116500</v>
      </c>
      <c r="G52" s="40"/>
      <c r="H52" s="40"/>
      <c r="I52" s="40">
        <f t="shared" si="6"/>
        <v>114871.2</v>
      </c>
      <c r="J52" s="73">
        <v>114871.2</v>
      </c>
      <c r="K52" s="73"/>
      <c r="L52" s="73"/>
      <c r="M52" s="67">
        <f t="shared" si="9"/>
        <v>0.98601888412017169</v>
      </c>
      <c r="N52" s="67">
        <f t="shared" si="10"/>
        <v>0.98601888412017169</v>
      </c>
      <c r="O52" s="68"/>
      <c r="P52" s="68"/>
    </row>
    <row r="53" spans="1:16" s="15" customFormat="1" ht="56.25" x14ac:dyDescent="0.25">
      <c r="A53" s="42"/>
      <c r="B53" s="42"/>
      <c r="C53" s="42"/>
      <c r="D53" s="39" t="s">
        <v>201</v>
      </c>
      <c r="E53" s="40">
        <f t="shared" si="4"/>
        <v>13000</v>
      </c>
      <c r="F53" s="40">
        <v>13000</v>
      </c>
      <c r="G53" s="40"/>
      <c r="H53" s="40"/>
      <c r="I53" s="40">
        <f t="shared" si="6"/>
        <v>12640</v>
      </c>
      <c r="J53" s="73">
        <v>12640</v>
      </c>
      <c r="K53" s="73"/>
      <c r="L53" s="73"/>
      <c r="M53" s="67">
        <f t="shared" si="9"/>
        <v>0.97230769230769232</v>
      </c>
      <c r="N53" s="67">
        <f t="shared" si="10"/>
        <v>0.97230769230769232</v>
      </c>
      <c r="O53" s="68"/>
      <c r="P53" s="68"/>
    </row>
    <row r="54" spans="1:16" s="15" customFormat="1" ht="56.25" x14ac:dyDescent="0.25">
      <c r="A54" s="42"/>
      <c r="B54" s="42"/>
      <c r="C54" s="42"/>
      <c r="D54" s="39" t="s">
        <v>200</v>
      </c>
      <c r="E54" s="40">
        <f t="shared" si="4"/>
        <v>13000</v>
      </c>
      <c r="F54" s="40">
        <v>13000</v>
      </c>
      <c r="G54" s="40"/>
      <c r="H54" s="40"/>
      <c r="I54" s="40">
        <f t="shared" si="6"/>
        <v>13000</v>
      </c>
      <c r="J54" s="73">
        <v>13000</v>
      </c>
      <c r="K54" s="73"/>
      <c r="L54" s="73"/>
      <c r="M54" s="67">
        <f t="shared" si="9"/>
        <v>1</v>
      </c>
      <c r="N54" s="67">
        <f t="shared" si="10"/>
        <v>1</v>
      </c>
      <c r="O54" s="68"/>
      <c r="P54" s="68"/>
    </row>
    <row r="55" spans="1:16" s="15" customFormat="1" ht="56.25" x14ac:dyDescent="0.25">
      <c r="A55" s="42"/>
      <c r="B55" s="42"/>
      <c r="C55" s="42"/>
      <c r="D55" s="39" t="s">
        <v>296</v>
      </c>
      <c r="E55" s="40">
        <f t="shared" si="4"/>
        <v>994500</v>
      </c>
      <c r="F55" s="40">
        <v>994500</v>
      </c>
      <c r="G55" s="40"/>
      <c r="H55" s="40"/>
      <c r="I55" s="40">
        <f t="shared" si="6"/>
        <v>993235.2</v>
      </c>
      <c r="J55" s="73">
        <v>993235.2</v>
      </c>
      <c r="K55" s="73"/>
      <c r="L55" s="73"/>
      <c r="M55" s="67">
        <f t="shared" si="9"/>
        <v>0.99872820512820504</v>
      </c>
      <c r="N55" s="67">
        <f t="shared" si="10"/>
        <v>0.99872820512820504</v>
      </c>
      <c r="O55" s="68"/>
      <c r="P55" s="68"/>
    </row>
    <row r="56" spans="1:16" s="15" customFormat="1" ht="75" x14ac:dyDescent="0.25">
      <c r="A56" s="42"/>
      <c r="B56" s="42"/>
      <c r="C56" s="42"/>
      <c r="D56" s="39" t="s">
        <v>297</v>
      </c>
      <c r="E56" s="40">
        <f t="shared" si="4"/>
        <v>267100</v>
      </c>
      <c r="F56" s="40">
        <v>267100</v>
      </c>
      <c r="G56" s="40"/>
      <c r="H56" s="40"/>
      <c r="I56" s="40">
        <f t="shared" si="6"/>
        <v>0</v>
      </c>
      <c r="J56" s="73"/>
      <c r="K56" s="73"/>
      <c r="L56" s="73"/>
      <c r="M56" s="67">
        <f t="shared" si="9"/>
        <v>0</v>
      </c>
      <c r="N56" s="67">
        <f t="shared" si="10"/>
        <v>0</v>
      </c>
      <c r="O56" s="68"/>
      <c r="P56" s="68"/>
    </row>
    <row r="57" spans="1:16" s="15" customFormat="1" ht="56.25" x14ac:dyDescent="0.25">
      <c r="A57" s="42"/>
      <c r="B57" s="42"/>
      <c r="C57" s="42"/>
      <c r="D57" s="39" t="s">
        <v>298</v>
      </c>
      <c r="E57" s="40">
        <f t="shared" si="4"/>
        <v>53500</v>
      </c>
      <c r="F57" s="40">
        <v>53500</v>
      </c>
      <c r="G57" s="40"/>
      <c r="H57" s="40"/>
      <c r="I57" s="40">
        <f t="shared" si="6"/>
        <v>53496.800000000003</v>
      </c>
      <c r="J57" s="73">
        <v>53496.800000000003</v>
      </c>
      <c r="K57" s="73"/>
      <c r="L57" s="73"/>
      <c r="M57" s="67">
        <f t="shared" si="9"/>
        <v>0.99994018691588793</v>
      </c>
      <c r="N57" s="67">
        <f t="shared" si="10"/>
        <v>0.99994018691588793</v>
      </c>
      <c r="O57" s="68"/>
      <c r="P57" s="68"/>
    </row>
    <row r="58" spans="1:16" s="15" customFormat="1" ht="37.5" x14ac:dyDescent="0.25">
      <c r="A58" s="35" t="s">
        <v>170</v>
      </c>
      <c r="B58" s="35" t="s">
        <v>171</v>
      </c>
      <c r="C58" s="35" t="s">
        <v>148</v>
      </c>
      <c r="D58" s="36" t="s">
        <v>172</v>
      </c>
      <c r="E58" s="37">
        <f t="shared" si="4"/>
        <v>29177825</v>
      </c>
      <c r="F58" s="37">
        <v>29177825</v>
      </c>
      <c r="G58" s="37">
        <v>0</v>
      </c>
      <c r="H58" s="37">
        <v>0</v>
      </c>
      <c r="I58" s="37">
        <f t="shared" si="6"/>
        <v>21562468.420000002</v>
      </c>
      <c r="J58" s="72">
        <v>21562468.420000002</v>
      </c>
      <c r="K58" s="72"/>
      <c r="L58" s="72">
        <v>0</v>
      </c>
      <c r="M58" s="25">
        <f t="shared" si="9"/>
        <v>0.73900191052623021</v>
      </c>
      <c r="N58" s="25">
        <f t="shared" si="10"/>
        <v>0.73900191052623021</v>
      </c>
      <c r="O58" s="58"/>
      <c r="P58" s="58"/>
    </row>
    <row r="59" spans="1:16" s="16" customFormat="1" ht="37.5" x14ac:dyDescent="0.25">
      <c r="A59" s="35" t="s">
        <v>228</v>
      </c>
      <c r="B59" s="35" t="s">
        <v>306</v>
      </c>
      <c r="C59" s="35" t="s">
        <v>148</v>
      </c>
      <c r="D59" s="36" t="s">
        <v>229</v>
      </c>
      <c r="E59" s="37">
        <f t="shared" si="4"/>
        <v>873900</v>
      </c>
      <c r="F59" s="37">
        <v>873900</v>
      </c>
      <c r="G59" s="37">
        <v>0</v>
      </c>
      <c r="H59" s="37">
        <v>0</v>
      </c>
      <c r="I59" s="37">
        <f t="shared" si="6"/>
        <v>325608</v>
      </c>
      <c r="J59" s="72">
        <v>325608</v>
      </c>
      <c r="K59" s="72"/>
      <c r="L59" s="72">
        <v>0</v>
      </c>
      <c r="M59" s="25">
        <f t="shared" si="9"/>
        <v>0.37259182972880195</v>
      </c>
      <c r="N59" s="25">
        <f t="shared" si="10"/>
        <v>0.37259182972880195</v>
      </c>
      <c r="O59" s="58"/>
      <c r="P59" s="58"/>
    </row>
    <row r="60" spans="1:16" s="15" customFormat="1" ht="37.5" x14ac:dyDescent="0.25">
      <c r="A60" s="35" t="s">
        <v>230</v>
      </c>
      <c r="B60" s="35" t="s">
        <v>231</v>
      </c>
      <c r="C60" s="35" t="s">
        <v>148</v>
      </c>
      <c r="D60" s="36" t="s">
        <v>232</v>
      </c>
      <c r="E60" s="37">
        <f t="shared" si="4"/>
        <v>5252480</v>
      </c>
      <c r="F60" s="37">
        <v>5252480</v>
      </c>
      <c r="G60" s="37">
        <v>0</v>
      </c>
      <c r="H60" s="37">
        <v>0</v>
      </c>
      <c r="I60" s="37">
        <f t="shared" si="6"/>
        <v>2536659</v>
      </c>
      <c r="J60" s="72">
        <v>2536659</v>
      </c>
      <c r="K60" s="72"/>
      <c r="L60" s="72">
        <v>0</v>
      </c>
      <c r="M60" s="25">
        <f t="shared" si="9"/>
        <v>0.48294500883392227</v>
      </c>
      <c r="N60" s="25">
        <f t="shared" si="10"/>
        <v>0.48294500883392227</v>
      </c>
      <c r="O60" s="58"/>
      <c r="P60" s="58"/>
    </row>
    <row r="61" spans="1:16" s="15" customFormat="1" ht="37.5" x14ac:dyDescent="0.25">
      <c r="A61" s="41" t="s">
        <v>290</v>
      </c>
      <c r="B61" s="41" t="s">
        <v>233</v>
      </c>
      <c r="C61" s="41" t="s">
        <v>148</v>
      </c>
      <c r="D61" s="36" t="s">
        <v>369</v>
      </c>
      <c r="E61" s="37">
        <f t="shared" si="4"/>
        <v>285480</v>
      </c>
      <c r="F61" s="37">
        <v>285480</v>
      </c>
      <c r="G61" s="37">
        <v>0</v>
      </c>
      <c r="H61" s="37"/>
      <c r="I61" s="37">
        <f t="shared" si="6"/>
        <v>234000</v>
      </c>
      <c r="J61" s="72">
        <v>234000</v>
      </c>
      <c r="K61" s="72"/>
      <c r="L61" s="72"/>
      <c r="M61" s="25">
        <f t="shared" si="9"/>
        <v>0.81967213114754101</v>
      </c>
      <c r="N61" s="25">
        <f t="shared" si="10"/>
        <v>0.81967213114754101</v>
      </c>
      <c r="O61" s="58"/>
      <c r="P61" s="58"/>
    </row>
    <row r="62" spans="1:16" s="15" customFormat="1" ht="37.5" x14ac:dyDescent="0.25">
      <c r="A62" s="41" t="s">
        <v>118</v>
      </c>
      <c r="B62" s="35">
        <v>8340</v>
      </c>
      <c r="C62" s="35" t="s">
        <v>40</v>
      </c>
      <c r="D62" s="36" t="s">
        <v>125</v>
      </c>
      <c r="E62" s="37">
        <f t="shared" si="4"/>
        <v>100000</v>
      </c>
      <c r="F62" s="37">
        <v>0</v>
      </c>
      <c r="G62" s="37">
        <v>100000</v>
      </c>
      <c r="H62" s="37"/>
      <c r="I62" s="37">
        <f t="shared" si="6"/>
        <v>0</v>
      </c>
      <c r="J62" s="72"/>
      <c r="K62" s="72"/>
      <c r="L62" s="72"/>
      <c r="M62" s="25">
        <f t="shared" si="9"/>
        <v>0</v>
      </c>
      <c r="N62" s="25"/>
      <c r="O62" s="58"/>
      <c r="P62" s="58"/>
    </row>
    <row r="63" spans="1:16" s="16" customFormat="1" ht="75" x14ac:dyDescent="0.25">
      <c r="A63" s="41" t="s">
        <v>414</v>
      </c>
      <c r="B63" s="35">
        <v>8721</v>
      </c>
      <c r="C63" s="41" t="s">
        <v>119</v>
      </c>
      <c r="D63" s="36" t="s">
        <v>415</v>
      </c>
      <c r="E63" s="37">
        <f t="shared" si="4"/>
        <v>185000</v>
      </c>
      <c r="F63" s="37">
        <v>185000</v>
      </c>
      <c r="G63" s="37"/>
      <c r="H63" s="37"/>
      <c r="I63" s="37">
        <f t="shared" si="6"/>
        <v>0</v>
      </c>
      <c r="J63" s="72"/>
      <c r="K63" s="72"/>
      <c r="L63" s="72"/>
      <c r="M63" s="25">
        <f t="shared" si="9"/>
        <v>0</v>
      </c>
      <c r="N63" s="25">
        <f t="shared" si="10"/>
        <v>0</v>
      </c>
      <c r="O63" s="58"/>
      <c r="P63" s="58"/>
    </row>
    <row r="64" spans="1:16" s="16" customFormat="1" ht="93.75" x14ac:dyDescent="0.25">
      <c r="A64" s="41" t="s">
        <v>416</v>
      </c>
      <c r="B64" s="35">
        <v>8733</v>
      </c>
      <c r="C64" s="41" t="s">
        <v>39</v>
      </c>
      <c r="D64" s="36" t="s">
        <v>417</v>
      </c>
      <c r="E64" s="37">
        <f t="shared" si="4"/>
        <v>1169825</v>
      </c>
      <c r="F64" s="62">
        <v>1169825</v>
      </c>
      <c r="G64" s="37"/>
      <c r="H64" s="37"/>
      <c r="I64" s="37">
        <f t="shared" si="6"/>
        <v>0</v>
      </c>
      <c r="J64" s="74"/>
      <c r="K64" s="72"/>
      <c r="L64" s="72"/>
      <c r="M64" s="25">
        <f t="shared" si="9"/>
        <v>0</v>
      </c>
      <c r="N64" s="25">
        <f t="shared" si="10"/>
        <v>0</v>
      </c>
      <c r="O64" s="58"/>
      <c r="P64" s="58"/>
    </row>
    <row r="65" spans="1:16" s="16" customFormat="1" ht="93.75" x14ac:dyDescent="0.25">
      <c r="A65" s="41" t="s">
        <v>418</v>
      </c>
      <c r="B65" s="35">
        <v>8746</v>
      </c>
      <c r="C65" s="41" t="s">
        <v>340</v>
      </c>
      <c r="D65" s="43" t="s">
        <v>419</v>
      </c>
      <c r="E65" s="37">
        <f t="shared" si="4"/>
        <v>88925</v>
      </c>
      <c r="F65" s="62">
        <v>88925</v>
      </c>
      <c r="G65" s="37"/>
      <c r="H65" s="37"/>
      <c r="I65" s="37">
        <f t="shared" si="6"/>
        <v>0</v>
      </c>
      <c r="J65" s="74"/>
      <c r="K65" s="72"/>
      <c r="L65" s="72"/>
      <c r="M65" s="25">
        <f t="shared" si="9"/>
        <v>0</v>
      </c>
      <c r="N65" s="25">
        <f t="shared" si="10"/>
        <v>0</v>
      </c>
      <c r="O65" s="58"/>
      <c r="P65" s="58"/>
    </row>
    <row r="66" spans="1:16" s="16" customFormat="1" ht="56.25" x14ac:dyDescent="0.25">
      <c r="A66" s="32" t="s">
        <v>51</v>
      </c>
      <c r="B66" s="32" t="s">
        <v>218</v>
      </c>
      <c r="C66" s="32" t="s">
        <v>218</v>
      </c>
      <c r="D66" s="33" t="s">
        <v>307</v>
      </c>
      <c r="E66" s="34">
        <f t="shared" si="4"/>
        <v>670400176</v>
      </c>
      <c r="F66" s="34">
        <f>F67</f>
        <v>649202302</v>
      </c>
      <c r="G66" s="34">
        <f t="shared" ref="G66:H66" si="13">G67</f>
        <v>21197874</v>
      </c>
      <c r="H66" s="34">
        <f t="shared" si="13"/>
        <v>2285900</v>
      </c>
      <c r="I66" s="34">
        <f t="shared" si="6"/>
        <v>455311274.23000002</v>
      </c>
      <c r="J66" s="71">
        <f>J67</f>
        <v>441129050.56999999</v>
      </c>
      <c r="K66" s="71">
        <f t="shared" ref="K66" si="14">K67</f>
        <v>14182223.66</v>
      </c>
      <c r="L66" s="71">
        <f t="shared" ref="L66" si="15">L67</f>
        <v>2006056</v>
      </c>
      <c r="M66" s="24">
        <f t="shared" si="9"/>
        <v>0.67916341691115545</v>
      </c>
      <c r="N66" s="24">
        <f t="shared" si="10"/>
        <v>0.6794939716187266</v>
      </c>
      <c r="O66" s="57">
        <f t="shared" si="12"/>
        <v>0.66903990749260989</v>
      </c>
      <c r="P66" s="57">
        <f t="shared" si="11"/>
        <v>0.87757819677151228</v>
      </c>
    </row>
    <row r="67" spans="1:16" s="16" customFormat="1" ht="56.25" x14ac:dyDescent="0.25">
      <c r="A67" s="32" t="s">
        <v>52</v>
      </c>
      <c r="B67" s="32" t="s">
        <v>218</v>
      </c>
      <c r="C67" s="32" t="s">
        <v>218</v>
      </c>
      <c r="D67" s="33" t="s">
        <v>307</v>
      </c>
      <c r="E67" s="34">
        <f t="shared" si="4"/>
        <v>670400176</v>
      </c>
      <c r="F67" s="34">
        <f>F68+F69+F70+F71+F72+F73+F77+F78+F79+F80+F81+F82+F83+F84+F85+F86+F87+F88+F89+F90+F91+F92+F93+F94+F95+F96</f>
        <v>649202302</v>
      </c>
      <c r="G67" s="34">
        <f t="shared" ref="G67:H67" si="16">G68+G69+G70+G71+G72+G73+G77+G78+G79+G80+G81+G82+G83+G84+G85+G86+G87+G88+G89+G90+G91+G92+G93+G94+G95+G96</f>
        <v>21197874</v>
      </c>
      <c r="H67" s="34">
        <f t="shared" si="16"/>
        <v>2285900</v>
      </c>
      <c r="I67" s="34">
        <f t="shared" si="6"/>
        <v>455311274.23000002</v>
      </c>
      <c r="J67" s="71">
        <f>J68+J69+J70+J71+J72+J73+J77+J78+J79+J80+J81+J82+J83+J84+J85+J86+J87+J88+J89+J90+J91+J92+J93+J94+J95+J96</f>
        <v>441129050.56999999</v>
      </c>
      <c r="K67" s="71">
        <f t="shared" ref="K67" si="17">K68+K69+K70+K71+K72+K73+K77+K78+K79+K80+K81+K82+K83+K84+K85+K86+K87+K88+K89+K90+K91+K92+K93+K94+K95+K96</f>
        <v>14182223.66</v>
      </c>
      <c r="L67" s="71">
        <f t="shared" ref="L67" si="18">L68+L69+L70+L71+L72+L73+L77+L78+L79+L80+L81+L82+L83+L84+L85+L86+L87+L88+L89+L90+L91+L92+L93+L94+L95+L96</f>
        <v>2006056</v>
      </c>
      <c r="M67" s="24">
        <f t="shared" si="9"/>
        <v>0.67916341691115545</v>
      </c>
      <c r="N67" s="24">
        <f t="shared" si="10"/>
        <v>0.6794939716187266</v>
      </c>
      <c r="O67" s="57">
        <f t="shared" si="12"/>
        <v>0.66903990749260989</v>
      </c>
      <c r="P67" s="57">
        <f t="shared" si="11"/>
        <v>0.87757819677151228</v>
      </c>
    </row>
    <row r="68" spans="1:16" s="16" customFormat="1" ht="56.25" x14ac:dyDescent="0.25">
      <c r="A68" s="35" t="s">
        <v>54</v>
      </c>
      <c r="B68" s="35" t="s">
        <v>53</v>
      </c>
      <c r="C68" s="35" t="s">
        <v>2</v>
      </c>
      <c r="D68" s="36" t="s">
        <v>235</v>
      </c>
      <c r="E68" s="37">
        <f t="shared" si="4"/>
        <v>6453241.3499999996</v>
      </c>
      <c r="F68" s="37">
        <v>6453241.3499999996</v>
      </c>
      <c r="G68" s="37">
        <v>0</v>
      </c>
      <c r="H68" s="37">
        <v>0</v>
      </c>
      <c r="I68" s="37">
        <f t="shared" si="6"/>
        <v>4907222.92</v>
      </c>
      <c r="J68" s="72">
        <v>4907222.92</v>
      </c>
      <c r="K68" s="72"/>
      <c r="L68" s="72">
        <v>0</v>
      </c>
      <c r="M68" s="25">
        <f t="shared" si="9"/>
        <v>0.7604276136363628</v>
      </c>
      <c r="N68" s="25">
        <f t="shared" si="10"/>
        <v>0.7604276136363628</v>
      </c>
      <c r="O68" s="58"/>
      <c r="P68" s="58"/>
    </row>
    <row r="69" spans="1:16" s="16" customFormat="1" ht="56.25" x14ac:dyDescent="0.25">
      <c r="A69" s="41" t="s">
        <v>370</v>
      </c>
      <c r="B69" s="35" t="s">
        <v>102</v>
      </c>
      <c r="C69" s="35" t="s">
        <v>103</v>
      </c>
      <c r="D69" s="36" t="s">
        <v>104</v>
      </c>
      <c r="E69" s="37">
        <f t="shared" si="4"/>
        <v>2700</v>
      </c>
      <c r="F69" s="37">
        <v>2700</v>
      </c>
      <c r="G69" s="37">
        <v>0</v>
      </c>
      <c r="H69" s="37">
        <v>0</v>
      </c>
      <c r="I69" s="37">
        <f t="shared" si="6"/>
        <v>0</v>
      </c>
      <c r="J69" s="72"/>
      <c r="K69" s="72"/>
      <c r="L69" s="72">
        <v>0</v>
      </c>
      <c r="M69" s="25">
        <f t="shared" si="9"/>
        <v>0</v>
      </c>
      <c r="N69" s="25">
        <f t="shared" si="10"/>
        <v>0</v>
      </c>
      <c r="O69" s="58"/>
      <c r="P69" s="58"/>
    </row>
    <row r="70" spans="1:16" s="16" customFormat="1" ht="18.75" x14ac:dyDescent="0.25">
      <c r="A70" s="35" t="s">
        <v>55</v>
      </c>
      <c r="B70" s="35" t="s">
        <v>10</v>
      </c>
      <c r="C70" s="35" t="s">
        <v>11</v>
      </c>
      <c r="D70" s="36" t="s">
        <v>56</v>
      </c>
      <c r="E70" s="37">
        <f t="shared" si="4"/>
        <v>121046045.87</v>
      </c>
      <c r="F70" s="37">
        <v>110759545.87</v>
      </c>
      <c r="G70" s="37">
        <v>10286500</v>
      </c>
      <c r="H70" s="37">
        <v>0</v>
      </c>
      <c r="I70" s="37">
        <f t="shared" si="6"/>
        <v>83560789.189999998</v>
      </c>
      <c r="J70" s="72">
        <v>80616759.959999993</v>
      </c>
      <c r="K70" s="72">
        <f>112588.82+2831440.41</f>
        <v>2944029.23</v>
      </c>
      <c r="L70" s="72">
        <v>0</v>
      </c>
      <c r="M70" s="25">
        <f t="shared" si="9"/>
        <v>0.6903223363425014</v>
      </c>
      <c r="N70" s="25">
        <f t="shared" si="10"/>
        <v>0.7278538326134073</v>
      </c>
      <c r="O70" s="58">
        <f t="shared" si="12"/>
        <v>0.28620320128323529</v>
      </c>
      <c r="P70" s="58"/>
    </row>
    <row r="71" spans="1:16" s="16" customFormat="1" ht="56.25" x14ac:dyDescent="0.25">
      <c r="A71" s="35" t="s">
        <v>176</v>
      </c>
      <c r="B71" s="35" t="s">
        <v>177</v>
      </c>
      <c r="C71" s="35" t="s">
        <v>13</v>
      </c>
      <c r="D71" s="36" t="s">
        <v>279</v>
      </c>
      <c r="E71" s="37">
        <f t="shared" si="4"/>
        <v>139459260.65000001</v>
      </c>
      <c r="F71" s="37">
        <v>139145761.65000001</v>
      </c>
      <c r="G71" s="37">
        <v>313499</v>
      </c>
      <c r="H71" s="37">
        <v>0</v>
      </c>
      <c r="I71" s="37">
        <f t="shared" si="6"/>
        <v>98401337.379999995</v>
      </c>
      <c r="J71" s="72">
        <v>95819028.569999993</v>
      </c>
      <c r="K71" s="72">
        <f>1848557.37+733751.44</f>
        <v>2582308.81</v>
      </c>
      <c r="L71" s="72">
        <v>0</v>
      </c>
      <c r="M71" s="25">
        <f t="shared" si="9"/>
        <v>0.70559199096112513</v>
      </c>
      <c r="N71" s="25">
        <f t="shared" si="10"/>
        <v>0.68862340781186127</v>
      </c>
      <c r="O71" s="58" t="s">
        <v>434</v>
      </c>
      <c r="P71" s="58"/>
    </row>
    <row r="72" spans="1:16" s="16" customFormat="1" ht="112.5" x14ac:dyDescent="0.25">
      <c r="A72" s="35" t="s">
        <v>178</v>
      </c>
      <c r="B72" s="35" t="s">
        <v>179</v>
      </c>
      <c r="C72" s="35" t="s">
        <v>15</v>
      </c>
      <c r="D72" s="36" t="s">
        <v>280</v>
      </c>
      <c r="E72" s="37">
        <f t="shared" si="4"/>
        <v>16055359.48</v>
      </c>
      <c r="F72" s="37">
        <v>16055359.48</v>
      </c>
      <c r="G72" s="37">
        <v>0</v>
      </c>
      <c r="H72" s="37">
        <v>0</v>
      </c>
      <c r="I72" s="37">
        <f t="shared" si="6"/>
        <v>11281793.43</v>
      </c>
      <c r="J72" s="72">
        <v>11221575.43</v>
      </c>
      <c r="K72" s="72">
        <v>60218</v>
      </c>
      <c r="L72" s="72">
        <v>0</v>
      </c>
      <c r="M72" s="25">
        <f t="shared" si="9"/>
        <v>0.70268083651777569</v>
      </c>
      <c r="N72" s="25">
        <f t="shared" si="10"/>
        <v>0.69893018863754519</v>
      </c>
      <c r="O72" s="58" t="s">
        <v>433</v>
      </c>
      <c r="P72" s="58"/>
    </row>
    <row r="73" spans="1:16" s="16" customFormat="1" ht="56.25" x14ac:dyDescent="0.25">
      <c r="A73" s="35" t="s">
        <v>180</v>
      </c>
      <c r="B73" s="35" t="s">
        <v>181</v>
      </c>
      <c r="C73" s="35" t="s">
        <v>13</v>
      </c>
      <c r="D73" s="36" t="s">
        <v>281</v>
      </c>
      <c r="E73" s="37">
        <f t="shared" si="4"/>
        <v>204358991.23000002</v>
      </c>
      <c r="F73" s="37">
        <f>F75+F76</f>
        <v>204358991.23000002</v>
      </c>
      <c r="G73" s="37">
        <v>0</v>
      </c>
      <c r="H73" s="37">
        <v>0</v>
      </c>
      <c r="I73" s="37">
        <f t="shared" si="6"/>
        <v>145124123.57000002</v>
      </c>
      <c r="J73" s="72">
        <f>J75+J76</f>
        <v>145124123.57000002</v>
      </c>
      <c r="K73" s="72">
        <v>0</v>
      </c>
      <c r="L73" s="72">
        <v>0</v>
      </c>
      <c r="M73" s="25">
        <f t="shared" si="9"/>
        <v>0.71014308054920428</v>
      </c>
      <c r="N73" s="25">
        <f t="shared" si="10"/>
        <v>0.71014308054920428</v>
      </c>
      <c r="O73" s="58"/>
      <c r="P73" s="58"/>
    </row>
    <row r="74" spans="1:16" s="15" customFormat="1" ht="18.75" x14ac:dyDescent="0.25">
      <c r="A74" s="38"/>
      <c r="B74" s="38"/>
      <c r="C74" s="38"/>
      <c r="D74" s="39" t="s">
        <v>308</v>
      </c>
      <c r="E74" s="40">
        <f t="shared" si="4"/>
        <v>0</v>
      </c>
      <c r="F74" s="40"/>
      <c r="G74" s="40"/>
      <c r="H74" s="40"/>
      <c r="I74" s="40">
        <f t="shared" si="6"/>
        <v>0</v>
      </c>
      <c r="J74" s="73"/>
      <c r="K74" s="73"/>
      <c r="L74" s="73"/>
      <c r="M74" s="67"/>
      <c r="N74" s="67"/>
      <c r="O74" s="68"/>
      <c r="P74" s="68"/>
    </row>
    <row r="75" spans="1:16" s="15" customFormat="1" ht="37.5" x14ac:dyDescent="0.25">
      <c r="A75" s="38"/>
      <c r="B75" s="38"/>
      <c r="C75" s="38"/>
      <c r="D75" s="39" t="s">
        <v>309</v>
      </c>
      <c r="E75" s="40">
        <f t="shared" si="4"/>
        <v>203993791.23000002</v>
      </c>
      <c r="F75" s="40">
        <f>125233791.23+78760000</f>
        <v>203993791.23000002</v>
      </c>
      <c r="G75" s="40"/>
      <c r="H75" s="40"/>
      <c r="I75" s="40">
        <f t="shared" si="6"/>
        <v>144911523.08000001</v>
      </c>
      <c r="J75" s="73">
        <v>144911523.08000001</v>
      </c>
      <c r="K75" s="73"/>
      <c r="L75" s="73"/>
      <c r="M75" s="67">
        <f t="shared" si="9"/>
        <v>0.7103722236164256</v>
      </c>
      <c r="N75" s="67">
        <f t="shared" si="10"/>
        <v>0.7103722236164256</v>
      </c>
      <c r="O75" s="68"/>
      <c r="P75" s="68"/>
    </row>
    <row r="76" spans="1:16" s="15" customFormat="1" ht="37.5" x14ac:dyDescent="0.25">
      <c r="A76" s="38"/>
      <c r="B76" s="38"/>
      <c r="C76" s="38"/>
      <c r="D76" s="39" t="s">
        <v>371</v>
      </c>
      <c r="E76" s="40">
        <f t="shared" si="4"/>
        <v>365200</v>
      </c>
      <c r="F76" s="40">
        <f>223300+141900</f>
        <v>365200</v>
      </c>
      <c r="G76" s="40"/>
      <c r="H76" s="40"/>
      <c r="I76" s="40">
        <f t="shared" si="6"/>
        <v>212600.49</v>
      </c>
      <c r="J76" s="73">
        <v>212600.49</v>
      </c>
      <c r="K76" s="73"/>
      <c r="L76" s="73"/>
      <c r="M76" s="67">
        <f t="shared" si="9"/>
        <v>0.58214811062431537</v>
      </c>
      <c r="N76" s="67">
        <f t="shared" si="10"/>
        <v>0.58214811062431537</v>
      </c>
      <c r="O76" s="68"/>
      <c r="P76" s="68"/>
    </row>
    <row r="77" spans="1:16" s="16" customFormat="1" ht="93.75" x14ac:dyDescent="0.25">
      <c r="A77" s="35" t="s">
        <v>182</v>
      </c>
      <c r="B77" s="35" t="s">
        <v>183</v>
      </c>
      <c r="C77" s="35" t="s">
        <v>15</v>
      </c>
      <c r="D77" s="36" t="s">
        <v>282</v>
      </c>
      <c r="E77" s="37">
        <f t="shared" si="4"/>
        <v>19448808.77</v>
      </c>
      <c r="F77" s="37">
        <f>11935108.77+7513700</f>
        <v>19448808.77</v>
      </c>
      <c r="G77" s="37">
        <v>0</v>
      </c>
      <c r="H77" s="37">
        <v>0</v>
      </c>
      <c r="I77" s="37">
        <f t="shared" si="6"/>
        <v>13811608.77</v>
      </c>
      <c r="J77" s="72">
        <v>13811608.77</v>
      </c>
      <c r="K77" s="72"/>
      <c r="L77" s="72"/>
      <c r="M77" s="25">
        <f t="shared" si="9"/>
        <v>0.71015191384392429</v>
      </c>
      <c r="N77" s="25">
        <f t="shared" si="10"/>
        <v>0.71015191384392429</v>
      </c>
      <c r="O77" s="58"/>
      <c r="P77" s="58"/>
    </row>
    <row r="78" spans="1:16" s="16" customFormat="1" ht="56.25" x14ac:dyDescent="0.25">
      <c r="A78" s="35" t="s">
        <v>57</v>
      </c>
      <c r="B78" s="35" t="s">
        <v>32</v>
      </c>
      <c r="C78" s="35" t="s">
        <v>16</v>
      </c>
      <c r="D78" s="36" t="s">
        <v>184</v>
      </c>
      <c r="E78" s="37">
        <f t="shared" si="4"/>
        <v>26239558.830000002</v>
      </c>
      <c r="F78" s="37">
        <v>26039558.830000002</v>
      </c>
      <c r="G78" s="37">
        <v>200000</v>
      </c>
      <c r="H78" s="37">
        <v>0</v>
      </c>
      <c r="I78" s="37">
        <f t="shared" si="6"/>
        <v>18569222.460000001</v>
      </c>
      <c r="J78" s="72">
        <v>18357422.460000001</v>
      </c>
      <c r="K78" s="72">
        <v>211800</v>
      </c>
      <c r="L78" s="72"/>
      <c r="M78" s="25">
        <f t="shared" si="9"/>
        <v>0.70768043701899386</v>
      </c>
      <c r="N78" s="25">
        <f t="shared" si="10"/>
        <v>0.70498208436813214</v>
      </c>
      <c r="O78" s="58">
        <f t="shared" si="12"/>
        <v>1.0589999999999999</v>
      </c>
      <c r="P78" s="58"/>
    </row>
    <row r="79" spans="1:16" s="16" customFormat="1" ht="37.5" x14ac:dyDescent="0.25">
      <c r="A79" s="35" t="s">
        <v>185</v>
      </c>
      <c r="B79" s="35" t="s">
        <v>186</v>
      </c>
      <c r="C79" s="35" t="s">
        <v>17</v>
      </c>
      <c r="D79" s="36" t="s">
        <v>187</v>
      </c>
      <c r="E79" s="37">
        <f t="shared" si="4"/>
        <v>16500</v>
      </c>
      <c r="F79" s="37">
        <v>16500</v>
      </c>
      <c r="G79" s="37">
        <v>0</v>
      </c>
      <c r="H79" s="37">
        <v>0</v>
      </c>
      <c r="I79" s="37">
        <f t="shared" si="6"/>
        <v>8240</v>
      </c>
      <c r="J79" s="72">
        <v>8240</v>
      </c>
      <c r="K79" s="72"/>
      <c r="L79" s="72"/>
      <c r="M79" s="25">
        <f t="shared" si="9"/>
        <v>0.49939393939393939</v>
      </c>
      <c r="N79" s="25">
        <f t="shared" si="10"/>
        <v>0.49939393939393939</v>
      </c>
      <c r="O79" s="58"/>
      <c r="P79" s="58"/>
    </row>
    <row r="80" spans="1:16" s="16" customFormat="1" ht="37.5" x14ac:dyDescent="0.25">
      <c r="A80" s="35" t="s">
        <v>188</v>
      </c>
      <c r="B80" s="35" t="s">
        <v>189</v>
      </c>
      <c r="C80" s="35" t="s">
        <v>18</v>
      </c>
      <c r="D80" s="36" t="s">
        <v>141</v>
      </c>
      <c r="E80" s="37">
        <f t="shared" ref="E80:E143" si="19">F80+G80</f>
        <v>25949002.359999999</v>
      </c>
      <c r="F80" s="37">
        <v>25949001.359999999</v>
      </c>
      <c r="G80" s="37">
        <v>1</v>
      </c>
      <c r="H80" s="37">
        <v>0</v>
      </c>
      <c r="I80" s="37">
        <f t="shared" ref="I80:I143" si="20">J80+K80</f>
        <v>19754204.859999999</v>
      </c>
      <c r="J80" s="72">
        <v>18799896.079999998</v>
      </c>
      <c r="K80" s="72">
        <v>954308.78</v>
      </c>
      <c r="L80" s="72"/>
      <c r="M80" s="25">
        <f t="shared" ref="M80:M143" si="21">I80/E80</f>
        <v>0.76127030187683875</v>
      </c>
      <c r="N80" s="25">
        <f t="shared" ref="N80:N143" si="22">J80/F80</f>
        <v>0.72449401112521272</v>
      </c>
      <c r="O80" s="58" t="s">
        <v>433</v>
      </c>
      <c r="P80" s="58"/>
    </row>
    <row r="81" spans="1:16" s="16" customFormat="1" ht="56.25" x14ac:dyDescent="0.25">
      <c r="A81" s="35" t="s">
        <v>190</v>
      </c>
      <c r="B81" s="35" t="s">
        <v>191</v>
      </c>
      <c r="C81" s="35" t="s">
        <v>18</v>
      </c>
      <c r="D81" s="36" t="s">
        <v>192</v>
      </c>
      <c r="E81" s="37">
        <f t="shared" si="19"/>
        <v>704161.21</v>
      </c>
      <c r="F81" s="37">
        <v>704161.21</v>
      </c>
      <c r="G81" s="37">
        <v>0</v>
      </c>
      <c r="H81" s="37">
        <v>0</v>
      </c>
      <c r="I81" s="37">
        <f t="shared" si="20"/>
        <v>449105.91</v>
      </c>
      <c r="J81" s="72">
        <v>449105.91</v>
      </c>
      <c r="K81" s="72"/>
      <c r="L81" s="72"/>
      <c r="M81" s="25">
        <f t="shared" si="21"/>
        <v>0.63778848312306213</v>
      </c>
      <c r="N81" s="25">
        <f t="shared" si="22"/>
        <v>0.63778848312306213</v>
      </c>
      <c r="O81" s="58"/>
      <c r="P81" s="58"/>
    </row>
    <row r="82" spans="1:16" s="16" customFormat="1" ht="56.25" x14ac:dyDescent="0.25">
      <c r="A82" s="41" t="s">
        <v>193</v>
      </c>
      <c r="B82" s="41" t="s">
        <v>372</v>
      </c>
      <c r="C82" s="41" t="s">
        <v>18</v>
      </c>
      <c r="D82" s="36" t="s">
        <v>194</v>
      </c>
      <c r="E82" s="37">
        <f t="shared" si="19"/>
        <v>1942759</v>
      </c>
      <c r="F82" s="37">
        <f>1234759+708000</f>
        <v>1942759</v>
      </c>
      <c r="G82" s="37">
        <v>0</v>
      </c>
      <c r="H82" s="37"/>
      <c r="I82" s="37">
        <f t="shared" si="20"/>
        <v>1318474.94</v>
      </c>
      <c r="J82" s="72">
        <v>1318474.94</v>
      </c>
      <c r="K82" s="72"/>
      <c r="L82" s="72"/>
      <c r="M82" s="25">
        <f t="shared" si="21"/>
        <v>0.6786610897182821</v>
      </c>
      <c r="N82" s="25">
        <f t="shared" si="22"/>
        <v>0.6786610897182821</v>
      </c>
      <c r="O82" s="58"/>
      <c r="P82" s="58"/>
    </row>
    <row r="83" spans="1:16" s="16" customFormat="1" ht="56.25" x14ac:dyDescent="0.25">
      <c r="A83" s="35" t="s">
        <v>263</v>
      </c>
      <c r="B83" s="35" t="s">
        <v>264</v>
      </c>
      <c r="C83" s="35" t="s">
        <v>18</v>
      </c>
      <c r="D83" s="36" t="s">
        <v>265</v>
      </c>
      <c r="E83" s="37">
        <f t="shared" si="19"/>
        <v>4911846.5500000007</v>
      </c>
      <c r="F83" s="37">
        <v>4911846.5500000007</v>
      </c>
      <c r="G83" s="37">
        <v>0</v>
      </c>
      <c r="H83" s="37">
        <v>0</v>
      </c>
      <c r="I83" s="37">
        <f t="shared" si="20"/>
        <v>3442986.9</v>
      </c>
      <c r="J83" s="72">
        <v>3442986.9</v>
      </c>
      <c r="K83" s="72"/>
      <c r="L83" s="72"/>
      <c r="M83" s="25">
        <f t="shared" si="21"/>
        <v>0.7009557128774716</v>
      </c>
      <c r="N83" s="25">
        <f t="shared" si="22"/>
        <v>0.7009557128774716</v>
      </c>
      <c r="O83" s="58"/>
      <c r="P83" s="58"/>
    </row>
    <row r="84" spans="1:16" s="16" customFormat="1" ht="131.25" x14ac:dyDescent="0.25">
      <c r="A84" s="41" t="s">
        <v>310</v>
      </c>
      <c r="B84" s="41" t="s">
        <v>311</v>
      </c>
      <c r="C84" s="41" t="s">
        <v>18</v>
      </c>
      <c r="D84" s="36" t="s">
        <v>312</v>
      </c>
      <c r="E84" s="37">
        <f t="shared" si="19"/>
        <v>685800</v>
      </c>
      <c r="F84" s="37">
        <v>0</v>
      </c>
      <c r="G84" s="37">
        <v>685800</v>
      </c>
      <c r="H84" s="37">
        <v>685800</v>
      </c>
      <c r="I84" s="37">
        <f t="shared" si="20"/>
        <v>601816.80000000005</v>
      </c>
      <c r="J84" s="72"/>
      <c r="K84" s="72">
        <v>601816.80000000005</v>
      </c>
      <c r="L84" s="72">
        <v>601816.80000000005</v>
      </c>
      <c r="M84" s="25">
        <f t="shared" si="21"/>
        <v>0.87753980752405958</v>
      </c>
      <c r="N84" s="25"/>
      <c r="O84" s="58">
        <f t="shared" ref="O84:O140" si="23">K84/G84</f>
        <v>0.87753980752405958</v>
      </c>
      <c r="P84" s="58">
        <f t="shared" ref="P84:P85" si="24">L84/H84</f>
        <v>0.87753980752405958</v>
      </c>
    </row>
    <row r="85" spans="1:16" s="16" customFormat="1" ht="131.25" x14ac:dyDescent="0.25">
      <c r="A85" s="41" t="s">
        <v>313</v>
      </c>
      <c r="B85" s="41" t="s">
        <v>314</v>
      </c>
      <c r="C85" s="41" t="s">
        <v>18</v>
      </c>
      <c r="D85" s="36" t="s">
        <v>315</v>
      </c>
      <c r="E85" s="37">
        <f t="shared" si="19"/>
        <v>1600100</v>
      </c>
      <c r="F85" s="37">
        <v>0</v>
      </c>
      <c r="G85" s="37">
        <v>1600100</v>
      </c>
      <c r="H85" s="37">
        <v>1600100</v>
      </c>
      <c r="I85" s="37">
        <f t="shared" si="20"/>
        <v>1404239.2</v>
      </c>
      <c r="J85" s="72"/>
      <c r="K85" s="72">
        <v>1404239.2</v>
      </c>
      <c r="L85" s="72">
        <v>1404239.2</v>
      </c>
      <c r="M85" s="25">
        <f t="shared" si="21"/>
        <v>0.87759465033435402</v>
      </c>
      <c r="N85" s="25"/>
      <c r="O85" s="58">
        <f t="shared" si="23"/>
        <v>0.87759465033435402</v>
      </c>
      <c r="P85" s="58">
        <f t="shared" si="24"/>
        <v>0.87759465033435402</v>
      </c>
    </row>
    <row r="86" spans="1:16" s="16" customFormat="1" ht="112.5" x14ac:dyDescent="0.25">
      <c r="A86" s="41" t="s">
        <v>316</v>
      </c>
      <c r="B86" s="35">
        <v>1200</v>
      </c>
      <c r="C86" s="41" t="s">
        <v>18</v>
      </c>
      <c r="D86" s="36" t="s">
        <v>317</v>
      </c>
      <c r="E86" s="37">
        <f t="shared" si="19"/>
        <v>327700</v>
      </c>
      <c r="F86" s="37">
        <v>327700</v>
      </c>
      <c r="G86" s="37">
        <v>0</v>
      </c>
      <c r="H86" s="37"/>
      <c r="I86" s="37">
        <f t="shared" si="20"/>
        <v>327700</v>
      </c>
      <c r="J86" s="72">
        <v>327700</v>
      </c>
      <c r="K86" s="72"/>
      <c r="L86" s="72"/>
      <c r="M86" s="25">
        <f t="shared" si="21"/>
        <v>1</v>
      </c>
      <c r="N86" s="25">
        <f t="shared" si="22"/>
        <v>1</v>
      </c>
      <c r="O86" s="58"/>
      <c r="P86" s="58"/>
    </row>
    <row r="87" spans="1:16" s="16" customFormat="1" ht="112.5" x14ac:dyDescent="0.25">
      <c r="A87" s="41" t="s">
        <v>373</v>
      </c>
      <c r="B87" s="41" t="s">
        <v>374</v>
      </c>
      <c r="C87" s="41" t="s">
        <v>18</v>
      </c>
      <c r="D87" s="36" t="s">
        <v>375</v>
      </c>
      <c r="E87" s="37">
        <f t="shared" si="19"/>
        <v>4508100</v>
      </c>
      <c r="F87" s="37">
        <v>0</v>
      </c>
      <c r="G87" s="37">
        <v>4508100</v>
      </c>
      <c r="H87" s="37"/>
      <c r="I87" s="37">
        <f t="shared" si="20"/>
        <v>3881816.36</v>
      </c>
      <c r="J87" s="72"/>
      <c r="K87" s="72">
        <v>3881816.36</v>
      </c>
      <c r="L87" s="72"/>
      <c r="M87" s="25">
        <f t="shared" si="21"/>
        <v>0.86107592111976217</v>
      </c>
      <c r="N87" s="25"/>
      <c r="O87" s="58">
        <f t="shared" si="23"/>
        <v>0.86107592111976217</v>
      </c>
      <c r="P87" s="58"/>
    </row>
    <row r="88" spans="1:16" s="16" customFormat="1" ht="75" x14ac:dyDescent="0.25">
      <c r="A88" s="41" t="s">
        <v>420</v>
      </c>
      <c r="B88" s="41" t="s">
        <v>421</v>
      </c>
      <c r="C88" s="41" t="s">
        <v>18</v>
      </c>
      <c r="D88" s="36" t="s">
        <v>422</v>
      </c>
      <c r="E88" s="37">
        <f t="shared" si="19"/>
        <v>1090544</v>
      </c>
      <c r="F88" s="37"/>
      <c r="G88" s="37">
        <v>1090544</v>
      </c>
      <c r="H88" s="37"/>
      <c r="I88" s="37">
        <f t="shared" si="20"/>
        <v>0</v>
      </c>
      <c r="J88" s="72"/>
      <c r="K88" s="72"/>
      <c r="L88" s="72"/>
      <c r="M88" s="25">
        <f t="shared" si="21"/>
        <v>0</v>
      </c>
      <c r="N88" s="25"/>
      <c r="O88" s="58">
        <f t="shared" si="23"/>
        <v>0</v>
      </c>
      <c r="P88" s="58"/>
    </row>
    <row r="89" spans="1:16" s="16" customFormat="1" ht="75" x14ac:dyDescent="0.25">
      <c r="A89" s="41" t="s">
        <v>318</v>
      </c>
      <c r="B89" s="41" t="s">
        <v>319</v>
      </c>
      <c r="C89" s="41" t="s">
        <v>18</v>
      </c>
      <c r="D89" s="36" t="s">
        <v>320</v>
      </c>
      <c r="E89" s="37">
        <f t="shared" si="19"/>
        <v>15857800</v>
      </c>
      <c r="F89" s="37">
        <v>15857800</v>
      </c>
      <c r="G89" s="37">
        <v>0</v>
      </c>
      <c r="H89" s="37"/>
      <c r="I89" s="37">
        <f t="shared" si="20"/>
        <v>14749764.560000001</v>
      </c>
      <c r="J89" s="72">
        <v>14749764.560000001</v>
      </c>
      <c r="K89" s="72"/>
      <c r="L89" s="72"/>
      <c r="M89" s="25">
        <f t="shared" si="21"/>
        <v>0.93012678681784366</v>
      </c>
      <c r="N89" s="25">
        <f t="shared" si="22"/>
        <v>0.93012678681784366</v>
      </c>
      <c r="O89" s="58"/>
      <c r="P89" s="58"/>
    </row>
    <row r="90" spans="1:16" s="16" customFormat="1" ht="112.5" x14ac:dyDescent="0.25">
      <c r="A90" s="41" t="s">
        <v>377</v>
      </c>
      <c r="B90" s="41" t="s">
        <v>378</v>
      </c>
      <c r="C90" s="41" t="s">
        <v>18</v>
      </c>
      <c r="D90" s="36" t="s">
        <v>379</v>
      </c>
      <c r="E90" s="37">
        <f t="shared" si="19"/>
        <v>2513330</v>
      </c>
      <c r="F90" s="37">
        <v>0</v>
      </c>
      <c r="G90" s="37">
        <v>2513330</v>
      </c>
      <c r="H90" s="37"/>
      <c r="I90" s="37">
        <f t="shared" si="20"/>
        <v>1541686.48</v>
      </c>
      <c r="J90" s="72"/>
      <c r="K90" s="72">
        <v>1541686.48</v>
      </c>
      <c r="L90" s="72"/>
      <c r="M90" s="25">
        <f t="shared" si="21"/>
        <v>0.61340392228636909</v>
      </c>
      <c r="N90" s="25"/>
      <c r="O90" s="58">
        <f t="shared" si="23"/>
        <v>0.61340392228636909</v>
      </c>
      <c r="P90" s="58"/>
    </row>
    <row r="91" spans="1:16" s="16" customFormat="1" ht="75" x14ac:dyDescent="0.25">
      <c r="A91" s="41" t="s">
        <v>380</v>
      </c>
      <c r="B91" s="41" t="s">
        <v>381</v>
      </c>
      <c r="C91" s="41" t="s">
        <v>18</v>
      </c>
      <c r="D91" s="36" t="s">
        <v>382</v>
      </c>
      <c r="E91" s="37">
        <f t="shared" si="19"/>
        <v>37711500</v>
      </c>
      <c r="F91" s="37">
        <v>37711500</v>
      </c>
      <c r="G91" s="37">
        <v>0</v>
      </c>
      <c r="H91" s="37"/>
      <c r="I91" s="37">
        <f t="shared" si="20"/>
        <v>17927796.75</v>
      </c>
      <c r="J91" s="72">
        <v>17927796.75</v>
      </c>
      <c r="K91" s="72"/>
      <c r="L91" s="72"/>
      <c r="M91" s="25">
        <f t="shared" si="21"/>
        <v>0.4753933614414701</v>
      </c>
      <c r="N91" s="25">
        <f t="shared" si="22"/>
        <v>0.4753933614414701</v>
      </c>
      <c r="O91" s="58"/>
      <c r="P91" s="58"/>
    </row>
    <row r="92" spans="1:16" s="16" customFormat="1" ht="93.75" x14ac:dyDescent="0.25">
      <c r="A92" s="35" t="s">
        <v>266</v>
      </c>
      <c r="B92" s="35" t="s">
        <v>267</v>
      </c>
      <c r="C92" s="35" t="s">
        <v>19</v>
      </c>
      <c r="D92" s="36" t="s">
        <v>268</v>
      </c>
      <c r="E92" s="37">
        <f t="shared" si="19"/>
        <v>2415873</v>
      </c>
      <c r="F92" s="37">
        <v>2415873</v>
      </c>
      <c r="G92" s="37">
        <v>0</v>
      </c>
      <c r="H92" s="37">
        <v>0</v>
      </c>
      <c r="I92" s="37">
        <f t="shared" si="20"/>
        <v>2415872.6800000002</v>
      </c>
      <c r="J92" s="72">
        <v>2415872.6800000002</v>
      </c>
      <c r="K92" s="72"/>
      <c r="L92" s="72"/>
      <c r="M92" s="25">
        <f t="shared" si="21"/>
        <v>0.9999998675427062</v>
      </c>
      <c r="N92" s="25">
        <f t="shared" si="22"/>
        <v>0.9999998675427062</v>
      </c>
      <c r="O92" s="58"/>
      <c r="P92" s="58"/>
    </row>
    <row r="93" spans="1:16" s="16" customFormat="1" ht="37.5" x14ac:dyDescent="0.25">
      <c r="A93" s="35" t="s">
        <v>138</v>
      </c>
      <c r="B93" s="35" t="s">
        <v>136</v>
      </c>
      <c r="C93" s="35" t="s">
        <v>3</v>
      </c>
      <c r="D93" s="36" t="s">
        <v>359</v>
      </c>
      <c r="E93" s="37">
        <f t="shared" si="19"/>
        <v>723100</v>
      </c>
      <c r="F93" s="37">
        <v>723100</v>
      </c>
      <c r="G93" s="37">
        <v>0</v>
      </c>
      <c r="H93" s="37">
        <v>0</v>
      </c>
      <c r="I93" s="37">
        <f t="shared" si="20"/>
        <v>397398.63</v>
      </c>
      <c r="J93" s="72">
        <v>397398.63</v>
      </c>
      <c r="K93" s="72"/>
      <c r="L93" s="72"/>
      <c r="M93" s="25">
        <f t="shared" si="21"/>
        <v>0.54957631033052134</v>
      </c>
      <c r="N93" s="25">
        <f t="shared" si="22"/>
        <v>0.54957631033052134</v>
      </c>
      <c r="O93" s="58"/>
      <c r="P93" s="58"/>
    </row>
    <row r="94" spans="1:16" s="16" customFormat="1" ht="56.25" x14ac:dyDescent="0.25">
      <c r="A94" s="35" t="s">
        <v>64</v>
      </c>
      <c r="B94" s="35" t="s">
        <v>46</v>
      </c>
      <c r="C94" s="35" t="s">
        <v>20</v>
      </c>
      <c r="D94" s="36" t="s">
        <v>321</v>
      </c>
      <c r="E94" s="37">
        <f t="shared" si="19"/>
        <v>14497393.699999999</v>
      </c>
      <c r="F94" s="37">
        <v>14497393.699999999</v>
      </c>
      <c r="G94" s="37">
        <v>0</v>
      </c>
      <c r="H94" s="37">
        <v>0</v>
      </c>
      <c r="I94" s="37">
        <f t="shared" si="20"/>
        <v>9235680.7899999991</v>
      </c>
      <c r="J94" s="72">
        <v>9235680.7899999991</v>
      </c>
      <c r="K94" s="72"/>
      <c r="L94" s="72"/>
      <c r="M94" s="25">
        <f t="shared" si="21"/>
        <v>0.63705801064090573</v>
      </c>
      <c r="N94" s="25">
        <f t="shared" si="22"/>
        <v>0.63705801064090573</v>
      </c>
      <c r="O94" s="58"/>
      <c r="P94" s="58"/>
    </row>
    <row r="95" spans="1:16" s="16" customFormat="1" ht="37.5" x14ac:dyDescent="0.25">
      <c r="A95" s="41" t="s">
        <v>322</v>
      </c>
      <c r="B95" s="41" t="s">
        <v>300</v>
      </c>
      <c r="C95" s="41" t="s">
        <v>301</v>
      </c>
      <c r="D95" s="36" t="s">
        <v>302</v>
      </c>
      <c r="E95" s="37">
        <f t="shared" si="19"/>
        <v>2729900</v>
      </c>
      <c r="F95" s="37">
        <v>2729900</v>
      </c>
      <c r="G95" s="37">
        <v>0</v>
      </c>
      <c r="H95" s="37"/>
      <c r="I95" s="37">
        <f t="shared" si="20"/>
        <v>797026.9</v>
      </c>
      <c r="J95" s="72">
        <v>797026.9</v>
      </c>
      <c r="K95" s="72"/>
      <c r="L95" s="72"/>
      <c r="M95" s="25">
        <f t="shared" si="21"/>
        <v>0.29196193999780212</v>
      </c>
      <c r="N95" s="25">
        <f t="shared" si="22"/>
        <v>0.29196193999780212</v>
      </c>
      <c r="O95" s="58"/>
      <c r="P95" s="58"/>
    </row>
    <row r="96" spans="1:16" s="16" customFormat="1" ht="56.25" x14ac:dyDescent="0.25">
      <c r="A96" s="41" t="s">
        <v>261</v>
      </c>
      <c r="B96" s="41">
        <v>8110</v>
      </c>
      <c r="C96" s="41" t="s">
        <v>4</v>
      </c>
      <c r="D96" s="36" t="s">
        <v>127</v>
      </c>
      <c r="E96" s="37">
        <f t="shared" si="19"/>
        <v>19150800</v>
      </c>
      <c r="F96" s="37">
        <v>19150800</v>
      </c>
      <c r="G96" s="37">
        <v>0</v>
      </c>
      <c r="H96" s="37">
        <v>0</v>
      </c>
      <c r="I96" s="37">
        <f t="shared" si="20"/>
        <v>1401364.75</v>
      </c>
      <c r="J96" s="72">
        <v>1401364.75</v>
      </c>
      <c r="K96" s="72"/>
      <c r="L96" s="72"/>
      <c r="M96" s="25">
        <f t="shared" si="21"/>
        <v>7.3175258997013173E-2</v>
      </c>
      <c r="N96" s="25">
        <f t="shared" si="22"/>
        <v>7.3175258997013173E-2</v>
      </c>
      <c r="O96" s="58"/>
      <c r="P96" s="58"/>
    </row>
    <row r="97" spans="1:16" s="16" customFormat="1" ht="56.25" x14ac:dyDescent="0.25">
      <c r="A97" s="32" t="s">
        <v>65</v>
      </c>
      <c r="B97" s="32" t="s">
        <v>218</v>
      </c>
      <c r="C97" s="32" t="s">
        <v>218</v>
      </c>
      <c r="D97" s="33" t="s">
        <v>236</v>
      </c>
      <c r="E97" s="34">
        <f t="shared" si="19"/>
        <v>152428359</v>
      </c>
      <c r="F97" s="34">
        <f>F98</f>
        <v>152248359</v>
      </c>
      <c r="G97" s="34">
        <f t="shared" ref="G97:H97" si="25">G98</f>
        <v>180000</v>
      </c>
      <c r="H97" s="34">
        <f t="shared" si="25"/>
        <v>0</v>
      </c>
      <c r="I97" s="34">
        <f t="shared" si="20"/>
        <v>102103717.39999999</v>
      </c>
      <c r="J97" s="71">
        <f>J98</f>
        <v>102095930.59999999</v>
      </c>
      <c r="K97" s="71">
        <f t="shared" ref="K97" si="26">K98</f>
        <v>7786.8</v>
      </c>
      <c r="L97" s="71">
        <f t="shared" ref="L97" si="27">L98</f>
        <v>0</v>
      </c>
      <c r="M97" s="24">
        <f t="shared" si="21"/>
        <v>0.66984725198019079</v>
      </c>
      <c r="N97" s="24">
        <f t="shared" si="22"/>
        <v>0.67058805277500555</v>
      </c>
      <c r="O97" s="57">
        <f t="shared" si="23"/>
        <v>4.326E-2</v>
      </c>
      <c r="P97" s="57"/>
    </row>
    <row r="98" spans="1:16" s="16" customFormat="1" ht="56.25" x14ac:dyDescent="0.25">
      <c r="A98" s="32" t="s">
        <v>66</v>
      </c>
      <c r="B98" s="32" t="s">
        <v>218</v>
      </c>
      <c r="C98" s="32" t="s">
        <v>218</v>
      </c>
      <c r="D98" s="33" t="s">
        <v>236</v>
      </c>
      <c r="E98" s="34">
        <f t="shared" si="19"/>
        <v>152428359</v>
      </c>
      <c r="F98" s="34">
        <f>F99+F100+F101+F102+F103+F104+F105+F106+F107+F108+F109+F110+F111+F112+F113+F114+F115+F116+F117+F118+F119+F120+F124</f>
        <v>152248359</v>
      </c>
      <c r="G98" s="34">
        <f t="shared" ref="G98:H98" si="28">G99+G100+G101+G102+G103+G104+G105+G106+G107+G108+G109+G110+G111+G112+G113+G114+G115+G116+G117+G118+G119+G120+G124</f>
        <v>180000</v>
      </c>
      <c r="H98" s="34">
        <f t="shared" si="28"/>
        <v>0</v>
      </c>
      <c r="I98" s="34">
        <f t="shared" si="20"/>
        <v>102103717.39999999</v>
      </c>
      <c r="J98" s="71">
        <f>J99+J100+J101+J102+J103+J104+J105+J106+J107+J108+J109+J110+J111+J112+J113+J114+J115+J116+J117+J118+J119+J120+J124</f>
        <v>102095930.59999999</v>
      </c>
      <c r="K98" s="71">
        <f t="shared" ref="K98" si="29">K99+K100+K101+K102+K103+K104+K105+K106+K107+K108+K109+K110+K111+K112+K113+K114+K115+K116+K117+K118+K119+K120+K124</f>
        <v>7786.8</v>
      </c>
      <c r="L98" s="71">
        <f t="shared" ref="L98" si="30">L99+L100+L101+L102+L103+L104+L105+L106+L107+L108+L109+L110+L111+L112+L113+L114+L115+L116+L117+L118+L119+L120+L124</f>
        <v>0</v>
      </c>
      <c r="M98" s="24">
        <f t="shared" si="21"/>
        <v>0.66984725198019079</v>
      </c>
      <c r="N98" s="24">
        <f t="shared" si="22"/>
        <v>0.67058805277500555</v>
      </c>
      <c r="O98" s="57">
        <f t="shared" si="23"/>
        <v>4.326E-2</v>
      </c>
      <c r="P98" s="57"/>
    </row>
    <row r="99" spans="1:16" s="16" customFormat="1" ht="56.25" x14ac:dyDescent="0.25">
      <c r="A99" s="35" t="s">
        <v>67</v>
      </c>
      <c r="B99" s="35" t="s">
        <v>53</v>
      </c>
      <c r="C99" s="35" t="s">
        <v>2</v>
      </c>
      <c r="D99" s="36" t="s">
        <v>235</v>
      </c>
      <c r="E99" s="37">
        <f t="shared" si="19"/>
        <v>23512500</v>
      </c>
      <c r="F99" s="37">
        <v>23512500</v>
      </c>
      <c r="G99" s="37">
        <v>0</v>
      </c>
      <c r="H99" s="37">
        <v>0</v>
      </c>
      <c r="I99" s="37">
        <f t="shared" si="20"/>
        <v>15217619.529999999</v>
      </c>
      <c r="J99" s="72">
        <v>15217619.529999999</v>
      </c>
      <c r="K99" s="72"/>
      <c r="L99" s="72"/>
      <c r="M99" s="25">
        <f t="shared" si="21"/>
        <v>0.64721401509835186</v>
      </c>
      <c r="N99" s="25">
        <f t="shared" si="22"/>
        <v>0.64721401509835186</v>
      </c>
      <c r="O99" s="58"/>
      <c r="P99" s="58"/>
    </row>
    <row r="100" spans="1:16" s="15" customFormat="1" ht="56.25" x14ac:dyDescent="0.25">
      <c r="A100" s="41" t="s">
        <v>383</v>
      </c>
      <c r="B100" s="35" t="s">
        <v>102</v>
      </c>
      <c r="C100" s="35" t="s">
        <v>103</v>
      </c>
      <c r="D100" s="36" t="s">
        <v>104</v>
      </c>
      <c r="E100" s="37">
        <f t="shared" si="19"/>
        <v>9000</v>
      </c>
      <c r="F100" s="37">
        <v>9000</v>
      </c>
      <c r="G100" s="37">
        <v>0</v>
      </c>
      <c r="H100" s="37">
        <v>0</v>
      </c>
      <c r="I100" s="37">
        <f t="shared" si="20"/>
        <v>6720</v>
      </c>
      <c r="J100" s="72">
        <v>6720</v>
      </c>
      <c r="K100" s="72"/>
      <c r="L100" s="72"/>
      <c r="M100" s="25">
        <f t="shared" si="21"/>
        <v>0.7466666666666667</v>
      </c>
      <c r="N100" s="25">
        <f t="shared" si="22"/>
        <v>0.7466666666666667</v>
      </c>
      <c r="O100" s="58"/>
      <c r="P100" s="58"/>
    </row>
    <row r="101" spans="1:16" s="15" customFormat="1" ht="37.5" x14ac:dyDescent="0.25">
      <c r="A101" s="35" t="s">
        <v>147</v>
      </c>
      <c r="B101" s="35" t="s">
        <v>9</v>
      </c>
      <c r="C101" s="35" t="s">
        <v>5</v>
      </c>
      <c r="D101" s="36" t="s">
        <v>98</v>
      </c>
      <c r="E101" s="37">
        <f t="shared" si="19"/>
        <v>162700</v>
      </c>
      <c r="F101" s="37">
        <v>162700</v>
      </c>
      <c r="G101" s="37">
        <v>0</v>
      </c>
      <c r="H101" s="37">
        <v>0</v>
      </c>
      <c r="I101" s="37">
        <f t="shared" si="20"/>
        <v>102518</v>
      </c>
      <c r="J101" s="72">
        <v>102518</v>
      </c>
      <c r="K101" s="72"/>
      <c r="L101" s="72"/>
      <c r="M101" s="25">
        <f t="shared" si="21"/>
        <v>0.6301044867854948</v>
      </c>
      <c r="N101" s="25">
        <f t="shared" si="22"/>
        <v>0.6301044867854948</v>
      </c>
      <c r="O101" s="58"/>
      <c r="P101" s="58"/>
    </row>
    <row r="102" spans="1:16" s="15" customFormat="1" ht="37.5" x14ac:dyDescent="0.25">
      <c r="A102" s="35" t="s">
        <v>99</v>
      </c>
      <c r="B102" s="35" t="s">
        <v>100</v>
      </c>
      <c r="C102" s="35" t="s">
        <v>32</v>
      </c>
      <c r="D102" s="36" t="s">
        <v>237</v>
      </c>
      <c r="E102" s="37">
        <f t="shared" si="19"/>
        <v>4600</v>
      </c>
      <c r="F102" s="37">
        <v>4600</v>
      </c>
      <c r="G102" s="37">
        <v>0</v>
      </c>
      <c r="H102" s="37">
        <v>0</v>
      </c>
      <c r="I102" s="37">
        <f t="shared" si="20"/>
        <v>3094.84</v>
      </c>
      <c r="J102" s="72">
        <v>3094.84</v>
      </c>
      <c r="K102" s="72"/>
      <c r="L102" s="72"/>
      <c r="M102" s="25">
        <f t="shared" si="21"/>
        <v>0.67279130434782608</v>
      </c>
      <c r="N102" s="25">
        <f t="shared" si="22"/>
        <v>0.67279130434782608</v>
      </c>
      <c r="O102" s="58"/>
      <c r="P102" s="58"/>
    </row>
    <row r="103" spans="1:16" s="16" customFormat="1" ht="56.25" x14ac:dyDescent="0.25">
      <c r="A103" s="41" t="s">
        <v>384</v>
      </c>
      <c r="B103" s="41" t="s">
        <v>385</v>
      </c>
      <c r="C103" s="41" t="s">
        <v>32</v>
      </c>
      <c r="D103" s="36" t="s">
        <v>386</v>
      </c>
      <c r="E103" s="37">
        <f t="shared" si="19"/>
        <v>18000</v>
      </c>
      <c r="F103" s="37">
        <v>18000</v>
      </c>
      <c r="G103" s="37">
        <v>0</v>
      </c>
      <c r="H103" s="37"/>
      <c r="I103" s="37">
        <f t="shared" si="20"/>
        <v>0</v>
      </c>
      <c r="J103" s="72"/>
      <c r="K103" s="72"/>
      <c r="L103" s="72"/>
      <c r="M103" s="25">
        <f t="shared" si="21"/>
        <v>0</v>
      </c>
      <c r="N103" s="25">
        <f t="shared" si="22"/>
        <v>0</v>
      </c>
      <c r="O103" s="58"/>
      <c r="P103" s="58"/>
    </row>
    <row r="104" spans="1:16" s="16" customFormat="1" ht="56.25" x14ac:dyDescent="0.25">
      <c r="A104" s="35" t="s">
        <v>155</v>
      </c>
      <c r="B104" s="35" t="s">
        <v>153</v>
      </c>
      <c r="C104" s="35" t="s">
        <v>32</v>
      </c>
      <c r="D104" s="36" t="s">
        <v>154</v>
      </c>
      <c r="E104" s="37">
        <f t="shared" si="19"/>
        <v>482313</v>
      </c>
      <c r="F104" s="37">
        <v>482313</v>
      </c>
      <c r="G104" s="37">
        <v>0</v>
      </c>
      <c r="H104" s="37">
        <v>0</v>
      </c>
      <c r="I104" s="37">
        <f t="shared" si="20"/>
        <v>321479.42</v>
      </c>
      <c r="J104" s="72">
        <v>321479.42</v>
      </c>
      <c r="K104" s="72"/>
      <c r="L104" s="72"/>
      <c r="M104" s="25">
        <f t="shared" si="21"/>
        <v>0.6665369168983627</v>
      </c>
      <c r="N104" s="25">
        <f t="shared" si="22"/>
        <v>0.6665369168983627</v>
      </c>
      <c r="O104" s="58"/>
      <c r="P104" s="58"/>
    </row>
    <row r="105" spans="1:16" s="16" customFormat="1" ht="37.5" x14ac:dyDescent="0.25">
      <c r="A105" s="35" t="s">
        <v>156</v>
      </c>
      <c r="B105" s="35" t="s">
        <v>157</v>
      </c>
      <c r="C105" s="35" t="s">
        <v>14</v>
      </c>
      <c r="D105" s="36" t="s">
        <v>158</v>
      </c>
      <c r="E105" s="37">
        <f t="shared" si="19"/>
        <v>151514</v>
      </c>
      <c r="F105" s="37">
        <v>151514</v>
      </c>
      <c r="G105" s="37">
        <v>0</v>
      </c>
      <c r="H105" s="37">
        <v>0</v>
      </c>
      <c r="I105" s="37">
        <f t="shared" si="20"/>
        <v>101215</v>
      </c>
      <c r="J105" s="72">
        <v>101215</v>
      </c>
      <c r="K105" s="72"/>
      <c r="L105" s="72"/>
      <c r="M105" s="25">
        <f t="shared" si="21"/>
        <v>0.66802407698298505</v>
      </c>
      <c r="N105" s="25">
        <f t="shared" si="22"/>
        <v>0.66802407698298505</v>
      </c>
      <c r="O105" s="58"/>
      <c r="P105" s="58"/>
    </row>
    <row r="106" spans="1:16" s="16" customFormat="1" ht="75" x14ac:dyDescent="0.25">
      <c r="A106" s="35" t="s">
        <v>110</v>
      </c>
      <c r="B106" s="35" t="s">
        <v>109</v>
      </c>
      <c r="C106" s="35" t="s">
        <v>12</v>
      </c>
      <c r="D106" s="36" t="s">
        <v>238</v>
      </c>
      <c r="E106" s="37">
        <f t="shared" si="19"/>
        <v>23603800</v>
      </c>
      <c r="F106" s="37">
        <v>23423800</v>
      </c>
      <c r="G106" s="37">
        <v>180000</v>
      </c>
      <c r="H106" s="37">
        <v>0</v>
      </c>
      <c r="I106" s="37">
        <f t="shared" si="20"/>
        <v>15357158.439999999</v>
      </c>
      <c r="J106" s="72">
        <v>15357158.439999999</v>
      </c>
      <c r="K106" s="72"/>
      <c r="L106" s="72"/>
      <c r="M106" s="25">
        <f t="shared" si="21"/>
        <v>0.65062229132597293</v>
      </c>
      <c r="N106" s="25">
        <f t="shared" si="22"/>
        <v>0.65562199301565072</v>
      </c>
      <c r="O106" s="58"/>
      <c r="P106" s="58"/>
    </row>
    <row r="107" spans="1:16" s="16" customFormat="1" ht="131.25" x14ac:dyDescent="0.25">
      <c r="A107" s="35" t="s">
        <v>69</v>
      </c>
      <c r="B107" s="35" t="s">
        <v>68</v>
      </c>
      <c r="C107" s="35" t="s">
        <v>19</v>
      </c>
      <c r="D107" s="36" t="s">
        <v>323</v>
      </c>
      <c r="E107" s="37">
        <f t="shared" si="19"/>
        <v>13049300</v>
      </c>
      <c r="F107" s="37">
        <v>13049300</v>
      </c>
      <c r="G107" s="37">
        <v>0</v>
      </c>
      <c r="H107" s="37">
        <v>0</v>
      </c>
      <c r="I107" s="37">
        <f t="shared" si="20"/>
        <v>8917744.1300000008</v>
      </c>
      <c r="J107" s="72">
        <v>8917744.1300000008</v>
      </c>
      <c r="K107" s="72"/>
      <c r="L107" s="72"/>
      <c r="M107" s="25">
        <f t="shared" si="21"/>
        <v>0.68338869747802566</v>
      </c>
      <c r="N107" s="25">
        <f t="shared" si="22"/>
        <v>0.68338869747802566</v>
      </c>
      <c r="O107" s="58"/>
      <c r="P107" s="58"/>
    </row>
    <row r="108" spans="1:16" s="16" customFormat="1" ht="18.75" x14ac:dyDescent="0.25">
      <c r="A108" s="35" t="s">
        <v>239</v>
      </c>
      <c r="B108" s="35" t="s">
        <v>80</v>
      </c>
      <c r="C108" s="35" t="s">
        <v>19</v>
      </c>
      <c r="D108" s="36" t="s">
        <v>240</v>
      </c>
      <c r="E108" s="37">
        <f t="shared" si="19"/>
        <v>417500</v>
      </c>
      <c r="F108" s="37">
        <v>417500</v>
      </c>
      <c r="G108" s="37">
        <v>0</v>
      </c>
      <c r="H108" s="37">
        <v>0</v>
      </c>
      <c r="I108" s="37">
        <f t="shared" si="20"/>
        <v>246000</v>
      </c>
      <c r="J108" s="72">
        <v>246000</v>
      </c>
      <c r="K108" s="72"/>
      <c r="L108" s="72"/>
      <c r="M108" s="25">
        <f t="shared" si="21"/>
        <v>0.58922155688622757</v>
      </c>
      <c r="N108" s="25">
        <f t="shared" si="22"/>
        <v>0.58922155688622757</v>
      </c>
      <c r="O108" s="58"/>
      <c r="P108" s="58"/>
    </row>
    <row r="109" spans="1:16" s="16" customFormat="1" ht="93.75" x14ac:dyDescent="0.25">
      <c r="A109" s="41" t="s">
        <v>324</v>
      </c>
      <c r="B109" s="35" t="s">
        <v>267</v>
      </c>
      <c r="C109" s="35" t="s">
        <v>19</v>
      </c>
      <c r="D109" s="36" t="s">
        <v>268</v>
      </c>
      <c r="E109" s="37">
        <f t="shared" si="19"/>
        <v>1273000</v>
      </c>
      <c r="F109" s="37">
        <v>1273000</v>
      </c>
      <c r="G109" s="37">
        <v>0</v>
      </c>
      <c r="H109" s="37">
        <v>0</v>
      </c>
      <c r="I109" s="37">
        <f t="shared" si="20"/>
        <v>1272530</v>
      </c>
      <c r="J109" s="72">
        <v>1272530</v>
      </c>
      <c r="K109" s="72"/>
      <c r="L109" s="72"/>
      <c r="M109" s="25">
        <f t="shared" si="21"/>
        <v>0.99963079340141403</v>
      </c>
      <c r="N109" s="25">
        <f t="shared" si="22"/>
        <v>0.99963079340141403</v>
      </c>
      <c r="O109" s="58"/>
      <c r="P109" s="58"/>
    </row>
    <row r="110" spans="1:16" s="16" customFormat="1" ht="112.5" x14ac:dyDescent="0.25">
      <c r="A110" s="35" t="s">
        <v>130</v>
      </c>
      <c r="B110" s="35" t="s">
        <v>131</v>
      </c>
      <c r="C110" s="35" t="s">
        <v>10</v>
      </c>
      <c r="D110" s="36" t="s">
        <v>241</v>
      </c>
      <c r="E110" s="37">
        <f t="shared" si="19"/>
        <v>2458800</v>
      </c>
      <c r="F110" s="37">
        <v>2458800</v>
      </c>
      <c r="G110" s="37">
        <v>0</v>
      </c>
      <c r="H110" s="37">
        <v>0</v>
      </c>
      <c r="I110" s="37">
        <f t="shared" si="20"/>
        <v>1459953.64</v>
      </c>
      <c r="J110" s="72">
        <v>1459953.64</v>
      </c>
      <c r="K110" s="72"/>
      <c r="L110" s="72"/>
      <c r="M110" s="25">
        <f t="shared" si="21"/>
        <v>0.59376673173905969</v>
      </c>
      <c r="N110" s="25">
        <f t="shared" si="22"/>
        <v>0.59376673173905969</v>
      </c>
      <c r="O110" s="58"/>
      <c r="P110" s="58"/>
    </row>
    <row r="111" spans="1:16" s="16" customFormat="1" ht="75" x14ac:dyDescent="0.25">
      <c r="A111" s="35" t="s">
        <v>159</v>
      </c>
      <c r="B111" s="35" t="s">
        <v>160</v>
      </c>
      <c r="C111" s="35" t="s">
        <v>10</v>
      </c>
      <c r="D111" s="36" t="s">
        <v>161</v>
      </c>
      <c r="E111" s="37">
        <f t="shared" si="19"/>
        <v>31190</v>
      </c>
      <c r="F111" s="37">
        <v>31190</v>
      </c>
      <c r="G111" s="37">
        <v>0</v>
      </c>
      <c r="H111" s="37">
        <v>0</v>
      </c>
      <c r="I111" s="37">
        <f t="shared" si="20"/>
        <v>8014.3</v>
      </c>
      <c r="J111" s="72">
        <v>8014.3</v>
      </c>
      <c r="K111" s="72"/>
      <c r="L111" s="72"/>
      <c r="M111" s="25">
        <f t="shared" si="21"/>
        <v>0.25695094581596667</v>
      </c>
      <c r="N111" s="25">
        <f t="shared" si="22"/>
        <v>0.25695094581596667</v>
      </c>
      <c r="O111" s="58"/>
      <c r="P111" s="58"/>
    </row>
    <row r="112" spans="1:16" s="16" customFormat="1" ht="112.5" x14ac:dyDescent="0.25">
      <c r="A112" s="35" t="s">
        <v>132</v>
      </c>
      <c r="B112" s="35" t="s">
        <v>133</v>
      </c>
      <c r="C112" s="35" t="s">
        <v>28</v>
      </c>
      <c r="D112" s="36" t="s">
        <v>242</v>
      </c>
      <c r="E112" s="37">
        <f t="shared" si="19"/>
        <v>1120000</v>
      </c>
      <c r="F112" s="37">
        <v>1120000</v>
      </c>
      <c r="G112" s="37">
        <v>0</v>
      </c>
      <c r="H112" s="37">
        <v>0</v>
      </c>
      <c r="I112" s="37">
        <f t="shared" si="20"/>
        <v>566951.47</v>
      </c>
      <c r="J112" s="72">
        <v>566951.47</v>
      </c>
      <c r="K112" s="72"/>
      <c r="L112" s="72"/>
      <c r="M112" s="25">
        <f t="shared" si="21"/>
        <v>0.5062066696428571</v>
      </c>
      <c r="N112" s="25">
        <f t="shared" si="22"/>
        <v>0.5062066696428571</v>
      </c>
      <c r="O112" s="58"/>
      <c r="P112" s="58"/>
    </row>
    <row r="113" spans="1:18" s="16" customFormat="1" ht="37.5" x14ac:dyDescent="0.25">
      <c r="A113" s="41" t="s">
        <v>387</v>
      </c>
      <c r="B113" s="41">
        <v>3191</v>
      </c>
      <c r="C113" s="41" t="s">
        <v>14</v>
      </c>
      <c r="D113" s="36" t="s">
        <v>388</v>
      </c>
      <c r="E113" s="37">
        <f t="shared" si="19"/>
        <v>25413400</v>
      </c>
      <c r="F113" s="37">
        <v>25413400</v>
      </c>
      <c r="G113" s="37">
        <v>0</v>
      </c>
      <c r="H113" s="37"/>
      <c r="I113" s="37">
        <f t="shared" si="20"/>
        <v>18148603</v>
      </c>
      <c r="J113" s="72">
        <v>18148603</v>
      </c>
      <c r="K113" s="72"/>
      <c r="L113" s="72"/>
      <c r="M113" s="25">
        <f t="shared" si="21"/>
        <v>0.71413518065272652</v>
      </c>
      <c r="N113" s="25">
        <f t="shared" si="22"/>
        <v>0.71413518065272652</v>
      </c>
      <c r="O113" s="58"/>
      <c r="P113" s="58"/>
    </row>
    <row r="114" spans="1:18" s="16" customFormat="1" ht="75" x14ac:dyDescent="0.25">
      <c r="A114" s="35" t="s">
        <v>134</v>
      </c>
      <c r="B114" s="35" t="s">
        <v>135</v>
      </c>
      <c r="C114" s="35" t="s">
        <v>14</v>
      </c>
      <c r="D114" s="36" t="s">
        <v>243</v>
      </c>
      <c r="E114" s="37">
        <f t="shared" si="19"/>
        <v>71000</v>
      </c>
      <c r="F114" s="37">
        <v>71000</v>
      </c>
      <c r="G114" s="37">
        <v>0</v>
      </c>
      <c r="H114" s="37">
        <v>0</v>
      </c>
      <c r="I114" s="37">
        <f t="shared" si="20"/>
        <v>36275.15</v>
      </c>
      <c r="J114" s="72">
        <v>36275.15</v>
      </c>
      <c r="K114" s="72"/>
      <c r="L114" s="72"/>
      <c r="M114" s="25">
        <f t="shared" si="21"/>
        <v>0.51091760563380284</v>
      </c>
      <c r="N114" s="25">
        <f t="shared" si="22"/>
        <v>0.51091760563380284</v>
      </c>
      <c r="O114" s="58"/>
      <c r="P114" s="58"/>
    </row>
    <row r="115" spans="1:18" s="16" customFormat="1" ht="112.5" x14ac:dyDescent="0.25">
      <c r="A115" s="41" t="s">
        <v>325</v>
      </c>
      <c r="B115" s="41" t="s">
        <v>389</v>
      </c>
      <c r="C115" s="41" t="s">
        <v>14</v>
      </c>
      <c r="D115" s="36" t="s">
        <v>326</v>
      </c>
      <c r="E115" s="37">
        <f t="shared" si="19"/>
        <v>2072420</v>
      </c>
      <c r="F115" s="37">
        <v>2072420</v>
      </c>
      <c r="G115" s="37"/>
      <c r="H115" s="37"/>
      <c r="I115" s="37">
        <f t="shared" si="20"/>
        <v>1254754.8400000001</v>
      </c>
      <c r="J115" s="72">
        <v>1254754.8400000001</v>
      </c>
      <c r="K115" s="72"/>
      <c r="L115" s="72"/>
      <c r="M115" s="25">
        <f t="shared" si="21"/>
        <v>0.60545393308306239</v>
      </c>
      <c r="N115" s="25">
        <f t="shared" si="22"/>
        <v>0.60545393308306239</v>
      </c>
      <c r="O115" s="58"/>
      <c r="P115" s="58"/>
    </row>
    <row r="116" spans="1:18" s="16" customFormat="1" ht="409.5" x14ac:dyDescent="0.25">
      <c r="A116" s="41" t="s">
        <v>407</v>
      </c>
      <c r="B116" s="41" t="s">
        <v>408</v>
      </c>
      <c r="C116" s="41" t="s">
        <v>28</v>
      </c>
      <c r="D116" s="36" t="s">
        <v>409</v>
      </c>
      <c r="E116" s="37">
        <f t="shared" si="19"/>
        <v>16808022</v>
      </c>
      <c r="F116" s="37">
        <v>16808022</v>
      </c>
      <c r="G116" s="37"/>
      <c r="H116" s="37"/>
      <c r="I116" s="37">
        <f t="shared" si="20"/>
        <v>16709499.1</v>
      </c>
      <c r="J116" s="72">
        <v>16709499.1</v>
      </c>
      <c r="K116" s="72"/>
      <c r="L116" s="72"/>
      <c r="M116" s="25">
        <f t="shared" si="21"/>
        <v>0.99413834060902584</v>
      </c>
      <c r="N116" s="25">
        <f t="shared" si="22"/>
        <v>0.99413834060902584</v>
      </c>
      <c r="O116" s="58"/>
      <c r="P116" s="58"/>
    </row>
    <row r="117" spans="1:18" s="16" customFormat="1" ht="75" x14ac:dyDescent="0.25">
      <c r="A117" s="35" t="s">
        <v>257</v>
      </c>
      <c r="B117" s="35" t="s">
        <v>327</v>
      </c>
      <c r="C117" s="35" t="s">
        <v>32</v>
      </c>
      <c r="D117" s="36" t="s">
        <v>328</v>
      </c>
      <c r="E117" s="37">
        <f t="shared" si="19"/>
        <v>1097600</v>
      </c>
      <c r="F117" s="37">
        <v>1097600</v>
      </c>
      <c r="G117" s="37">
        <v>0</v>
      </c>
      <c r="H117" s="37">
        <v>0</v>
      </c>
      <c r="I117" s="37">
        <f t="shared" si="20"/>
        <v>0</v>
      </c>
      <c r="J117" s="72"/>
      <c r="K117" s="72"/>
      <c r="L117" s="72"/>
      <c r="M117" s="25">
        <f t="shared" si="21"/>
        <v>0</v>
      </c>
      <c r="N117" s="25">
        <f t="shared" si="22"/>
        <v>0</v>
      </c>
      <c r="O117" s="58"/>
      <c r="P117" s="58"/>
    </row>
    <row r="118" spans="1:18" s="16" customFormat="1" ht="37.5" x14ac:dyDescent="0.25">
      <c r="A118" s="35" t="s">
        <v>139</v>
      </c>
      <c r="B118" s="35" t="s">
        <v>136</v>
      </c>
      <c r="C118" s="35" t="s">
        <v>3</v>
      </c>
      <c r="D118" s="36" t="s">
        <v>359</v>
      </c>
      <c r="E118" s="37">
        <f t="shared" si="19"/>
        <v>37789600</v>
      </c>
      <c r="F118" s="37">
        <v>37789600</v>
      </c>
      <c r="G118" s="37">
        <v>0</v>
      </c>
      <c r="H118" s="37">
        <v>0</v>
      </c>
      <c r="I118" s="37">
        <f t="shared" si="20"/>
        <v>20595801.289999999</v>
      </c>
      <c r="J118" s="72">
        <f>19773239.59+814774.9</f>
        <v>20588014.489999998</v>
      </c>
      <c r="K118" s="72">
        <v>7786.8</v>
      </c>
      <c r="L118" s="72"/>
      <c r="M118" s="25">
        <f t="shared" si="21"/>
        <v>0.54501241849609416</v>
      </c>
      <c r="N118" s="25">
        <f t="shared" si="22"/>
        <v>0.54480636180324737</v>
      </c>
      <c r="O118" s="58" t="s">
        <v>433</v>
      </c>
      <c r="P118" s="58"/>
    </row>
    <row r="119" spans="1:18" s="16" customFormat="1" ht="56.25" x14ac:dyDescent="0.25">
      <c r="A119" s="41" t="s">
        <v>390</v>
      </c>
      <c r="B119" s="41" t="s">
        <v>391</v>
      </c>
      <c r="C119" s="41" t="s">
        <v>3</v>
      </c>
      <c r="D119" s="36" t="s">
        <v>392</v>
      </c>
      <c r="E119" s="37">
        <f t="shared" si="19"/>
        <v>1832800</v>
      </c>
      <c r="F119" s="37">
        <v>1832800</v>
      </c>
      <c r="G119" s="37">
        <v>0</v>
      </c>
      <c r="H119" s="37"/>
      <c r="I119" s="37">
        <f t="shared" si="20"/>
        <v>1444712.25</v>
      </c>
      <c r="J119" s="72">
        <v>1444712.25</v>
      </c>
      <c r="K119" s="72"/>
      <c r="L119" s="72"/>
      <c r="M119" s="25">
        <f t="shared" si="21"/>
        <v>0.78825417394151021</v>
      </c>
      <c r="N119" s="25">
        <f t="shared" si="22"/>
        <v>0.78825417394151021</v>
      </c>
      <c r="O119" s="58"/>
      <c r="P119" s="58"/>
      <c r="R119" s="50"/>
    </row>
    <row r="120" spans="1:18" s="16" customFormat="1" ht="37.5" x14ac:dyDescent="0.25">
      <c r="A120" s="41" t="s">
        <v>329</v>
      </c>
      <c r="B120" s="41" t="s">
        <v>300</v>
      </c>
      <c r="C120" s="41" t="s">
        <v>301</v>
      </c>
      <c r="D120" s="36" t="s">
        <v>302</v>
      </c>
      <c r="E120" s="37">
        <f t="shared" si="19"/>
        <v>989300</v>
      </c>
      <c r="F120" s="37">
        <f>SUM(F121:F123)</f>
        <v>989300</v>
      </c>
      <c r="G120" s="37">
        <v>0</v>
      </c>
      <c r="H120" s="37"/>
      <c r="I120" s="37">
        <f t="shared" si="20"/>
        <v>291133</v>
      </c>
      <c r="J120" s="72">
        <f>SUM(J121:J123)</f>
        <v>291133</v>
      </c>
      <c r="K120" s="72">
        <v>0</v>
      </c>
      <c r="L120" s="72"/>
      <c r="M120" s="25">
        <f t="shared" si="21"/>
        <v>0.294281815425048</v>
      </c>
      <c r="N120" s="25">
        <f t="shared" si="22"/>
        <v>0.294281815425048</v>
      </c>
      <c r="O120" s="58"/>
      <c r="P120" s="58"/>
      <c r="R120" s="50"/>
    </row>
    <row r="121" spans="1:18" s="15" customFormat="1" ht="56.25" x14ac:dyDescent="0.25">
      <c r="A121" s="42"/>
      <c r="B121" s="42"/>
      <c r="C121" s="42"/>
      <c r="D121" s="39" t="s">
        <v>330</v>
      </c>
      <c r="E121" s="40">
        <f t="shared" si="19"/>
        <v>168100</v>
      </c>
      <c r="F121" s="40">
        <v>168100</v>
      </c>
      <c r="G121" s="40"/>
      <c r="H121" s="40"/>
      <c r="I121" s="40">
        <f t="shared" si="20"/>
        <v>151185</v>
      </c>
      <c r="J121" s="73">
        <v>151185</v>
      </c>
      <c r="K121" s="73"/>
      <c r="L121" s="73"/>
      <c r="M121" s="67">
        <f t="shared" si="21"/>
        <v>0.89937537180249849</v>
      </c>
      <c r="N121" s="67">
        <f t="shared" si="22"/>
        <v>0.89937537180249849</v>
      </c>
      <c r="O121" s="68"/>
      <c r="P121" s="68"/>
      <c r="R121" s="70"/>
    </row>
    <row r="122" spans="1:18" s="15" customFormat="1" ht="56.25" x14ac:dyDescent="0.25">
      <c r="A122" s="42"/>
      <c r="B122" s="42"/>
      <c r="C122" s="42"/>
      <c r="D122" s="39" t="s">
        <v>331</v>
      </c>
      <c r="E122" s="40">
        <f t="shared" si="19"/>
        <v>757300</v>
      </c>
      <c r="F122" s="40">
        <v>757300</v>
      </c>
      <c r="G122" s="40"/>
      <c r="H122" s="40"/>
      <c r="I122" s="40">
        <f t="shared" si="20"/>
        <v>132544</v>
      </c>
      <c r="J122" s="73">
        <v>132544</v>
      </c>
      <c r="K122" s="73"/>
      <c r="L122" s="73"/>
      <c r="M122" s="67">
        <f t="shared" si="21"/>
        <v>0.1750217879308068</v>
      </c>
      <c r="N122" s="67">
        <f t="shared" si="22"/>
        <v>0.1750217879308068</v>
      </c>
      <c r="O122" s="68"/>
      <c r="P122" s="68"/>
      <c r="R122" s="70"/>
    </row>
    <row r="123" spans="1:18" s="15" customFormat="1" ht="75" x14ac:dyDescent="0.25">
      <c r="A123" s="42"/>
      <c r="B123" s="42"/>
      <c r="C123" s="42"/>
      <c r="D123" s="39" t="s">
        <v>332</v>
      </c>
      <c r="E123" s="40">
        <f t="shared" si="19"/>
        <v>63900</v>
      </c>
      <c r="F123" s="40">
        <v>63900</v>
      </c>
      <c r="G123" s="40"/>
      <c r="H123" s="40"/>
      <c r="I123" s="40">
        <f t="shared" si="20"/>
        <v>7404</v>
      </c>
      <c r="J123" s="73">
        <v>7404</v>
      </c>
      <c r="K123" s="73"/>
      <c r="L123" s="73"/>
      <c r="M123" s="67">
        <f t="shared" si="21"/>
        <v>0.11586854460093897</v>
      </c>
      <c r="N123" s="67">
        <f t="shared" si="22"/>
        <v>0.11586854460093897</v>
      </c>
      <c r="O123" s="68"/>
      <c r="P123" s="68"/>
      <c r="R123" s="70"/>
    </row>
    <row r="124" spans="1:18" s="16" customFormat="1" ht="56.25" x14ac:dyDescent="0.25">
      <c r="A124" s="41" t="s">
        <v>393</v>
      </c>
      <c r="B124" s="41">
        <v>8110</v>
      </c>
      <c r="C124" s="41" t="s">
        <v>4</v>
      </c>
      <c r="D124" s="36" t="s">
        <v>127</v>
      </c>
      <c r="E124" s="37">
        <f t="shared" si="19"/>
        <v>60000</v>
      </c>
      <c r="F124" s="37">
        <f>F125</f>
        <v>60000</v>
      </c>
      <c r="G124" s="37">
        <v>0</v>
      </c>
      <c r="H124" s="37">
        <v>0</v>
      </c>
      <c r="I124" s="37">
        <f t="shared" si="20"/>
        <v>41940</v>
      </c>
      <c r="J124" s="72">
        <f>J125</f>
        <v>41940</v>
      </c>
      <c r="K124" s="72">
        <v>0</v>
      </c>
      <c r="L124" s="72">
        <v>0</v>
      </c>
      <c r="M124" s="25">
        <f t="shared" si="21"/>
        <v>0.69899999999999995</v>
      </c>
      <c r="N124" s="25">
        <f t="shared" si="22"/>
        <v>0.69899999999999995</v>
      </c>
      <c r="O124" s="58"/>
      <c r="P124" s="58"/>
      <c r="R124" s="50"/>
    </row>
    <row r="125" spans="1:18" s="15" customFormat="1" ht="75" x14ac:dyDescent="0.25">
      <c r="A125" s="42"/>
      <c r="B125" s="42"/>
      <c r="C125" s="42"/>
      <c r="D125" s="39" t="s">
        <v>332</v>
      </c>
      <c r="E125" s="40">
        <f t="shared" si="19"/>
        <v>60000</v>
      </c>
      <c r="F125" s="40">
        <v>60000</v>
      </c>
      <c r="G125" s="40"/>
      <c r="H125" s="40"/>
      <c r="I125" s="40">
        <f t="shared" si="20"/>
        <v>41940</v>
      </c>
      <c r="J125" s="73">
        <v>41940</v>
      </c>
      <c r="K125" s="73"/>
      <c r="L125" s="73"/>
      <c r="M125" s="67">
        <f t="shared" si="21"/>
        <v>0.69899999999999995</v>
      </c>
      <c r="N125" s="67">
        <f t="shared" si="22"/>
        <v>0.69899999999999995</v>
      </c>
      <c r="O125" s="68"/>
      <c r="P125" s="68"/>
      <c r="R125" s="70"/>
    </row>
    <row r="126" spans="1:18" s="16" customFormat="1" ht="56.25" x14ac:dyDescent="0.25">
      <c r="A126" s="32" t="s">
        <v>285</v>
      </c>
      <c r="B126" s="32" t="s">
        <v>218</v>
      </c>
      <c r="C126" s="32" t="s">
        <v>218</v>
      </c>
      <c r="D126" s="33" t="s">
        <v>333</v>
      </c>
      <c r="E126" s="34">
        <f t="shared" si="19"/>
        <v>3818800</v>
      </c>
      <c r="F126" s="34">
        <f>F127</f>
        <v>3818800</v>
      </c>
      <c r="G126" s="34">
        <f t="shared" ref="G126:H126" si="31">G127</f>
        <v>0</v>
      </c>
      <c r="H126" s="34">
        <f t="shared" si="31"/>
        <v>0</v>
      </c>
      <c r="I126" s="34">
        <f t="shared" si="20"/>
        <v>2646556.5499999998</v>
      </c>
      <c r="J126" s="71">
        <f>J127</f>
        <v>2646556.5499999998</v>
      </c>
      <c r="K126" s="71">
        <f t="shared" ref="K126" si="32">K127</f>
        <v>0</v>
      </c>
      <c r="L126" s="71">
        <f t="shared" ref="L126" si="33">L127</f>
        <v>0</v>
      </c>
      <c r="M126" s="24">
        <f t="shared" si="21"/>
        <v>0.69303355766209274</v>
      </c>
      <c r="N126" s="24">
        <f t="shared" si="22"/>
        <v>0.69303355766209274</v>
      </c>
      <c r="O126" s="57"/>
      <c r="P126" s="57"/>
      <c r="R126" s="50"/>
    </row>
    <row r="127" spans="1:18" s="16" customFormat="1" ht="56.25" x14ac:dyDescent="0.25">
      <c r="A127" s="32" t="s">
        <v>286</v>
      </c>
      <c r="B127" s="32" t="s">
        <v>218</v>
      </c>
      <c r="C127" s="32" t="s">
        <v>218</v>
      </c>
      <c r="D127" s="33" t="s">
        <v>333</v>
      </c>
      <c r="E127" s="34">
        <f t="shared" si="19"/>
        <v>3818800</v>
      </c>
      <c r="F127" s="34">
        <f>SUM(F128:F131)</f>
        <v>3818800</v>
      </c>
      <c r="G127" s="34">
        <v>0</v>
      </c>
      <c r="H127" s="34">
        <v>0</v>
      </c>
      <c r="I127" s="34">
        <f t="shared" si="20"/>
        <v>2646556.5499999998</v>
      </c>
      <c r="J127" s="71">
        <f>SUM(J128:J131)</f>
        <v>2646556.5499999998</v>
      </c>
      <c r="K127" s="71">
        <v>0</v>
      </c>
      <c r="L127" s="71">
        <v>0</v>
      </c>
      <c r="M127" s="24">
        <f t="shared" si="21"/>
        <v>0.69303355766209274</v>
      </c>
      <c r="N127" s="24">
        <f t="shared" si="22"/>
        <v>0.69303355766209274</v>
      </c>
      <c r="O127" s="57"/>
      <c r="P127" s="57"/>
      <c r="R127" s="50"/>
    </row>
    <row r="128" spans="1:18" s="16" customFormat="1" ht="56.25" x14ac:dyDescent="0.25">
      <c r="A128" s="35" t="s">
        <v>287</v>
      </c>
      <c r="B128" s="35" t="s">
        <v>53</v>
      </c>
      <c r="C128" s="35" t="s">
        <v>2</v>
      </c>
      <c r="D128" s="36" t="s">
        <v>235</v>
      </c>
      <c r="E128" s="37">
        <f t="shared" si="19"/>
        <v>3465300</v>
      </c>
      <c r="F128" s="37">
        <v>3465300</v>
      </c>
      <c r="G128" s="37">
        <v>0</v>
      </c>
      <c r="H128" s="37">
        <v>0</v>
      </c>
      <c r="I128" s="37">
        <f t="shared" si="20"/>
        <v>2529224.75</v>
      </c>
      <c r="J128" s="72">
        <v>2529224.75</v>
      </c>
      <c r="K128" s="72">
        <v>0</v>
      </c>
      <c r="L128" s="72">
        <v>0</v>
      </c>
      <c r="M128" s="25">
        <f t="shared" si="21"/>
        <v>0.72987180042131994</v>
      </c>
      <c r="N128" s="25">
        <f t="shared" si="22"/>
        <v>0.72987180042131994</v>
      </c>
      <c r="O128" s="58"/>
      <c r="P128" s="58"/>
      <c r="R128" s="50"/>
    </row>
    <row r="129" spans="1:18" s="16" customFormat="1" ht="56.25" x14ac:dyDescent="0.25">
      <c r="A129" s="41" t="s">
        <v>394</v>
      </c>
      <c r="B129" s="35" t="s">
        <v>102</v>
      </c>
      <c r="C129" s="35" t="s">
        <v>103</v>
      </c>
      <c r="D129" s="36" t="s">
        <v>104</v>
      </c>
      <c r="E129" s="37">
        <f t="shared" si="19"/>
        <v>6500</v>
      </c>
      <c r="F129" s="37">
        <v>6500</v>
      </c>
      <c r="G129" s="37">
        <v>0</v>
      </c>
      <c r="H129" s="37">
        <v>0</v>
      </c>
      <c r="I129" s="37">
        <f t="shared" si="20"/>
        <v>0</v>
      </c>
      <c r="J129" s="72"/>
      <c r="K129" s="72">
        <v>0</v>
      </c>
      <c r="L129" s="72">
        <v>0</v>
      </c>
      <c r="M129" s="25">
        <f t="shared" si="21"/>
        <v>0</v>
      </c>
      <c r="N129" s="25">
        <f t="shared" si="22"/>
        <v>0</v>
      </c>
      <c r="O129" s="58"/>
      <c r="P129" s="58"/>
      <c r="R129" s="50"/>
    </row>
    <row r="130" spans="1:18" s="16" customFormat="1" ht="37.5" x14ac:dyDescent="0.25">
      <c r="A130" s="35" t="s">
        <v>288</v>
      </c>
      <c r="B130" s="35" t="s">
        <v>33</v>
      </c>
      <c r="C130" s="35" t="s">
        <v>19</v>
      </c>
      <c r="D130" s="36" t="s">
        <v>42</v>
      </c>
      <c r="E130" s="37">
        <f t="shared" si="19"/>
        <v>328000</v>
      </c>
      <c r="F130" s="37">
        <v>328000</v>
      </c>
      <c r="G130" s="37">
        <v>0</v>
      </c>
      <c r="H130" s="37">
        <v>0</v>
      </c>
      <c r="I130" s="37">
        <f t="shared" si="20"/>
        <v>112997.8</v>
      </c>
      <c r="J130" s="72">
        <v>112997.8</v>
      </c>
      <c r="K130" s="72">
        <v>0</v>
      </c>
      <c r="L130" s="72">
        <v>0</v>
      </c>
      <c r="M130" s="25">
        <f t="shared" si="21"/>
        <v>0.34450548780487805</v>
      </c>
      <c r="N130" s="25">
        <f t="shared" si="22"/>
        <v>0.34450548780487805</v>
      </c>
      <c r="O130" s="58"/>
      <c r="P130" s="58"/>
      <c r="R130" s="50"/>
    </row>
    <row r="131" spans="1:18" s="16" customFormat="1" ht="37.5" x14ac:dyDescent="0.25">
      <c r="A131" s="41" t="s">
        <v>334</v>
      </c>
      <c r="B131" s="41" t="s">
        <v>300</v>
      </c>
      <c r="C131" s="41" t="s">
        <v>301</v>
      </c>
      <c r="D131" s="36" t="s">
        <v>302</v>
      </c>
      <c r="E131" s="37">
        <f t="shared" si="19"/>
        <v>19000</v>
      </c>
      <c r="F131" s="37">
        <v>19000</v>
      </c>
      <c r="G131" s="37">
        <v>0</v>
      </c>
      <c r="H131" s="37"/>
      <c r="I131" s="37">
        <f t="shared" si="20"/>
        <v>4334</v>
      </c>
      <c r="J131" s="72">
        <v>4334</v>
      </c>
      <c r="K131" s="72">
        <v>0</v>
      </c>
      <c r="L131" s="72"/>
      <c r="M131" s="25">
        <f t="shared" si="21"/>
        <v>0.22810526315789473</v>
      </c>
      <c r="N131" s="25">
        <f t="shared" si="22"/>
        <v>0.22810526315789473</v>
      </c>
      <c r="O131" s="58"/>
      <c r="P131" s="58"/>
      <c r="R131" s="50"/>
    </row>
    <row r="132" spans="1:18" s="16" customFormat="1" ht="56.25" x14ac:dyDescent="0.25">
      <c r="A132" s="32" t="s">
        <v>70</v>
      </c>
      <c r="B132" s="32" t="s">
        <v>218</v>
      </c>
      <c r="C132" s="32" t="s">
        <v>218</v>
      </c>
      <c r="D132" s="33" t="s">
        <v>244</v>
      </c>
      <c r="E132" s="34">
        <f t="shared" si="19"/>
        <v>72452374</v>
      </c>
      <c r="F132" s="34">
        <f>F133</f>
        <v>71052374</v>
      </c>
      <c r="G132" s="34">
        <f t="shared" ref="G132:H132" si="34">G133</f>
        <v>1400000</v>
      </c>
      <c r="H132" s="34">
        <f t="shared" si="34"/>
        <v>0</v>
      </c>
      <c r="I132" s="34">
        <f t="shared" si="20"/>
        <v>50089842.399999999</v>
      </c>
      <c r="J132" s="71">
        <f>J133</f>
        <v>48766030.039999999</v>
      </c>
      <c r="K132" s="71">
        <f t="shared" ref="K132" si="35">K133</f>
        <v>1323812.3600000001</v>
      </c>
      <c r="L132" s="71">
        <f t="shared" ref="L132" si="36">L133</f>
        <v>0</v>
      </c>
      <c r="M132" s="24">
        <f t="shared" si="21"/>
        <v>0.69134853193354295</v>
      </c>
      <c r="N132" s="24">
        <f t="shared" si="22"/>
        <v>0.6863392071882074</v>
      </c>
      <c r="O132" s="57">
        <f t="shared" si="23"/>
        <v>0.94558025714285721</v>
      </c>
      <c r="P132" s="57"/>
      <c r="R132" s="50"/>
    </row>
    <row r="133" spans="1:18" s="16" customFormat="1" ht="56.25" x14ac:dyDescent="0.25">
      <c r="A133" s="32" t="s">
        <v>71</v>
      </c>
      <c r="B133" s="32" t="s">
        <v>218</v>
      </c>
      <c r="C133" s="32" t="s">
        <v>218</v>
      </c>
      <c r="D133" s="33" t="s">
        <v>244</v>
      </c>
      <c r="E133" s="34">
        <f t="shared" si="19"/>
        <v>72452374</v>
      </c>
      <c r="F133" s="34">
        <f>SUM(F134:F145)</f>
        <v>71052374</v>
      </c>
      <c r="G133" s="34">
        <f t="shared" ref="G133:H133" si="37">SUM(G134:G145)</f>
        <v>1400000</v>
      </c>
      <c r="H133" s="34">
        <f t="shared" si="37"/>
        <v>0</v>
      </c>
      <c r="I133" s="34">
        <f t="shared" si="20"/>
        <v>50089842.399999999</v>
      </c>
      <c r="J133" s="71">
        <f>SUM(J134:J145)</f>
        <v>48766030.039999999</v>
      </c>
      <c r="K133" s="71">
        <f t="shared" ref="K133" si="38">SUM(K134:K145)</f>
        <v>1323812.3600000001</v>
      </c>
      <c r="L133" s="71">
        <f t="shared" ref="L133" si="39">SUM(L134:L145)</f>
        <v>0</v>
      </c>
      <c r="M133" s="24">
        <f t="shared" si="21"/>
        <v>0.69134853193354295</v>
      </c>
      <c r="N133" s="24">
        <f t="shared" si="22"/>
        <v>0.6863392071882074</v>
      </c>
      <c r="O133" s="57">
        <f t="shared" si="23"/>
        <v>0.94558025714285721</v>
      </c>
      <c r="P133" s="57"/>
    </row>
    <row r="134" spans="1:18" s="16" customFormat="1" ht="56.25" x14ac:dyDescent="0.25">
      <c r="A134" s="35" t="s">
        <v>72</v>
      </c>
      <c r="B134" s="35" t="s">
        <v>53</v>
      </c>
      <c r="C134" s="35" t="s">
        <v>2</v>
      </c>
      <c r="D134" s="36" t="s">
        <v>235</v>
      </c>
      <c r="E134" s="37">
        <f t="shared" si="19"/>
        <v>1373800</v>
      </c>
      <c r="F134" s="37">
        <v>1373800</v>
      </c>
      <c r="G134" s="37">
        <v>0</v>
      </c>
      <c r="H134" s="37">
        <v>0</v>
      </c>
      <c r="I134" s="37">
        <f t="shared" si="20"/>
        <v>1009803.24</v>
      </c>
      <c r="J134" s="72">
        <v>1009803.24</v>
      </c>
      <c r="K134" s="72"/>
      <c r="L134" s="72"/>
      <c r="M134" s="25">
        <f t="shared" si="21"/>
        <v>0.73504384917746401</v>
      </c>
      <c r="N134" s="25">
        <f t="shared" si="22"/>
        <v>0.73504384917746401</v>
      </c>
      <c r="O134" s="58"/>
      <c r="P134" s="58"/>
    </row>
    <row r="135" spans="1:18" s="16" customFormat="1" ht="56.25" x14ac:dyDescent="0.25">
      <c r="A135" s="41" t="s">
        <v>395</v>
      </c>
      <c r="B135" s="35" t="s">
        <v>102</v>
      </c>
      <c r="C135" s="35" t="s">
        <v>103</v>
      </c>
      <c r="D135" s="36" t="s">
        <v>104</v>
      </c>
      <c r="E135" s="37">
        <f t="shared" si="19"/>
        <v>4000</v>
      </c>
      <c r="F135" s="37">
        <v>4000</v>
      </c>
      <c r="G135" s="37">
        <v>0</v>
      </c>
      <c r="H135" s="37">
        <v>0</v>
      </c>
      <c r="I135" s="37">
        <f t="shared" si="20"/>
        <v>3300</v>
      </c>
      <c r="J135" s="72">
        <v>3300</v>
      </c>
      <c r="K135" s="72"/>
      <c r="L135" s="72"/>
      <c r="M135" s="25">
        <f t="shared" si="21"/>
        <v>0.82499999999999996</v>
      </c>
      <c r="N135" s="25">
        <f t="shared" si="22"/>
        <v>0.82499999999999996</v>
      </c>
      <c r="O135" s="58"/>
      <c r="P135" s="58"/>
    </row>
    <row r="136" spans="1:18" s="16" customFormat="1" ht="37.5" x14ac:dyDescent="0.25">
      <c r="A136" s="35" t="s">
        <v>195</v>
      </c>
      <c r="B136" s="35" t="s">
        <v>196</v>
      </c>
      <c r="C136" s="35" t="s">
        <v>16</v>
      </c>
      <c r="D136" s="36" t="s">
        <v>245</v>
      </c>
      <c r="E136" s="37">
        <f t="shared" si="19"/>
        <v>33378400</v>
      </c>
      <c r="F136" s="37">
        <v>32288400</v>
      </c>
      <c r="G136" s="37">
        <v>1090000</v>
      </c>
      <c r="H136" s="37">
        <v>0</v>
      </c>
      <c r="I136" s="37">
        <f t="shared" si="20"/>
        <v>24644914.270000003</v>
      </c>
      <c r="J136" s="72">
        <v>24032226.760000002</v>
      </c>
      <c r="K136" s="72">
        <v>612687.51</v>
      </c>
      <c r="L136" s="72"/>
      <c r="M136" s="25">
        <f t="shared" si="21"/>
        <v>0.73834918000862848</v>
      </c>
      <c r="N136" s="25">
        <f t="shared" si="22"/>
        <v>0.74429909069511035</v>
      </c>
      <c r="O136" s="58">
        <f t="shared" si="23"/>
        <v>0.56209863302752294</v>
      </c>
      <c r="P136" s="58"/>
    </row>
    <row r="137" spans="1:18" s="16" customFormat="1" ht="93.75" x14ac:dyDescent="0.25">
      <c r="A137" s="35" t="s">
        <v>335</v>
      </c>
      <c r="B137" s="35" t="s">
        <v>267</v>
      </c>
      <c r="C137" s="35" t="s">
        <v>19</v>
      </c>
      <c r="D137" s="36" t="s">
        <v>268</v>
      </c>
      <c r="E137" s="37">
        <f t="shared" si="19"/>
        <v>170000</v>
      </c>
      <c r="F137" s="37">
        <v>170000</v>
      </c>
      <c r="G137" s="37">
        <v>0</v>
      </c>
      <c r="H137" s="37">
        <v>0</v>
      </c>
      <c r="I137" s="37">
        <f t="shared" si="20"/>
        <v>170000</v>
      </c>
      <c r="J137" s="72">
        <v>170000</v>
      </c>
      <c r="K137" s="72"/>
      <c r="L137" s="72"/>
      <c r="M137" s="25">
        <f t="shared" si="21"/>
        <v>1</v>
      </c>
      <c r="N137" s="25">
        <f t="shared" si="22"/>
        <v>1</v>
      </c>
      <c r="O137" s="58"/>
      <c r="P137" s="58"/>
    </row>
    <row r="138" spans="1:18" s="16" customFormat="1" ht="37.5" x14ac:dyDescent="0.25">
      <c r="A138" s="35">
        <v>1013242</v>
      </c>
      <c r="B138" s="35">
        <v>3242</v>
      </c>
      <c r="C138" s="35">
        <v>1090</v>
      </c>
      <c r="D138" s="36" t="s">
        <v>359</v>
      </c>
      <c r="E138" s="37">
        <f t="shared" si="19"/>
        <v>48000</v>
      </c>
      <c r="F138" s="37">
        <v>48000</v>
      </c>
      <c r="G138" s="37"/>
      <c r="H138" s="37"/>
      <c r="I138" s="37">
        <f t="shared" si="20"/>
        <v>36000</v>
      </c>
      <c r="J138" s="72">
        <v>36000</v>
      </c>
      <c r="K138" s="72"/>
      <c r="L138" s="72"/>
      <c r="M138" s="25">
        <f t="shared" si="21"/>
        <v>0.75</v>
      </c>
      <c r="N138" s="25">
        <f t="shared" si="22"/>
        <v>0.75</v>
      </c>
      <c r="O138" s="58"/>
      <c r="P138" s="58"/>
    </row>
    <row r="139" spans="1:18" s="16" customFormat="1" ht="18.75" x14ac:dyDescent="0.25">
      <c r="A139" s="35" t="s">
        <v>74</v>
      </c>
      <c r="B139" s="35" t="s">
        <v>73</v>
      </c>
      <c r="C139" s="35" t="s">
        <v>35</v>
      </c>
      <c r="D139" s="36" t="s">
        <v>75</v>
      </c>
      <c r="E139" s="37">
        <f t="shared" si="19"/>
        <v>11424475</v>
      </c>
      <c r="F139" s="37">
        <v>11344475</v>
      </c>
      <c r="G139" s="37">
        <v>80000</v>
      </c>
      <c r="H139" s="37">
        <v>0</v>
      </c>
      <c r="I139" s="37">
        <f t="shared" si="20"/>
        <v>7487459.9300000006</v>
      </c>
      <c r="J139" s="72">
        <v>7315534.6100000003</v>
      </c>
      <c r="K139" s="72">
        <f>133524+38401.32</f>
        <v>171925.32</v>
      </c>
      <c r="L139" s="72"/>
      <c r="M139" s="25">
        <f t="shared" si="21"/>
        <v>0.65538765938916232</v>
      </c>
      <c r="N139" s="25">
        <f t="shared" si="22"/>
        <v>0.6448543991678769</v>
      </c>
      <c r="O139" s="58" t="s">
        <v>437</v>
      </c>
      <c r="P139" s="58"/>
    </row>
    <row r="140" spans="1:18" s="16" customFormat="1" ht="18.75" x14ac:dyDescent="0.25">
      <c r="A140" s="35" t="s">
        <v>77</v>
      </c>
      <c r="B140" s="35" t="s">
        <v>76</v>
      </c>
      <c r="C140" s="35" t="s">
        <v>35</v>
      </c>
      <c r="D140" s="36" t="s">
        <v>246</v>
      </c>
      <c r="E140" s="37">
        <f t="shared" si="19"/>
        <v>5404900</v>
      </c>
      <c r="F140" s="37">
        <v>5364900</v>
      </c>
      <c r="G140" s="37">
        <v>40000</v>
      </c>
      <c r="H140" s="37">
        <v>0</v>
      </c>
      <c r="I140" s="37">
        <f t="shared" si="20"/>
        <v>3340343.47</v>
      </c>
      <c r="J140" s="72">
        <v>3323837.87</v>
      </c>
      <c r="K140" s="72">
        <f>16505.6</f>
        <v>16505.599999999999</v>
      </c>
      <c r="L140" s="72"/>
      <c r="M140" s="25">
        <f t="shared" si="21"/>
        <v>0.6180213269440693</v>
      </c>
      <c r="N140" s="25">
        <f t="shared" si="22"/>
        <v>0.6195526235344555</v>
      </c>
      <c r="O140" s="58">
        <f t="shared" si="23"/>
        <v>0.41263999999999995</v>
      </c>
      <c r="P140" s="58"/>
    </row>
    <row r="141" spans="1:18" s="16" customFormat="1" ht="56.25" x14ac:dyDescent="0.25">
      <c r="A141" s="35" t="s">
        <v>78</v>
      </c>
      <c r="B141" s="35" t="s">
        <v>34</v>
      </c>
      <c r="C141" s="35" t="s">
        <v>36</v>
      </c>
      <c r="D141" s="36" t="s">
        <v>247</v>
      </c>
      <c r="E141" s="37">
        <f t="shared" si="19"/>
        <v>16320199</v>
      </c>
      <c r="F141" s="37">
        <v>16130199</v>
      </c>
      <c r="G141" s="37">
        <v>190000</v>
      </c>
      <c r="H141" s="37">
        <v>0</v>
      </c>
      <c r="I141" s="37">
        <f t="shared" si="20"/>
        <v>10533834.199999999</v>
      </c>
      <c r="J141" s="72">
        <v>10011140.27</v>
      </c>
      <c r="K141" s="72">
        <f>313977.88+208716.05</f>
        <v>522693.93</v>
      </c>
      <c r="L141" s="72"/>
      <c r="M141" s="25">
        <f t="shared" si="21"/>
        <v>0.64544765661252046</v>
      </c>
      <c r="N141" s="25">
        <f t="shared" si="22"/>
        <v>0.62064580046408602</v>
      </c>
      <c r="O141" s="58" t="s">
        <v>436</v>
      </c>
      <c r="P141" s="58"/>
    </row>
    <row r="142" spans="1:18" s="16" customFormat="1" ht="37.5" x14ac:dyDescent="0.25">
      <c r="A142" s="35" t="s">
        <v>140</v>
      </c>
      <c r="B142" s="35" t="s">
        <v>122</v>
      </c>
      <c r="C142" s="35" t="s">
        <v>37</v>
      </c>
      <c r="D142" s="36" t="s">
        <v>123</v>
      </c>
      <c r="E142" s="37">
        <f t="shared" si="19"/>
        <v>2999300</v>
      </c>
      <c r="F142" s="37">
        <v>2999300</v>
      </c>
      <c r="G142" s="37">
        <v>0</v>
      </c>
      <c r="H142" s="37">
        <v>0</v>
      </c>
      <c r="I142" s="37">
        <f t="shared" si="20"/>
        <v>2192892.21</v>
      </c>
      <c r="J142" s="72">
        <v>2192892.21</v>
      </c>
      <c r="K142" s="72"/>
      <c r="L142" s="72"/>
      <c r="M142" s="25">
        <f t="shared" si="21"/>
        <v>0.73113466808922078</v>
      </c>
      <c r="N142" s="25">
        <f t="shared" si="22"/>
        <v>0.73113466808922078</v>
      </c>
      <c r="O142" s="58"/>
      <c r="P142" s="58"/>
    </row>
    <row r="143" spans="1:18" s="16" customFormat="1" ht="18.75" x14ac:dyDescent="0.25">
      <c r="A143" s="35" t="s">
        <v>120</v>
      </c>
      <c r="B143" s="35" t="s">
        <v>121</v>
      </c>
      <c r="C143" s="35" t="s">
        <v>37</v>
      </c>
      <c r="D143" s="36" t="s">
        <v>124</v>
      </c>
      <c r="E143" s="37">
        <f t="shared" si="19"/>
        <v>979000</v>
      </c>
      <c r="F143" s="37">
        <v>979000</v>
      </c>
      <c r="G143" s="37">
        <v>0</v>
      </c>
      <c r="H143" s="37">
        <v>0</v>
      </c>
      <c r="I143" s="37">
        <f t="shared" si="20"/>
        <v>458431.08</v>
      </c>
      <c r="J143" s="72">
        <v>458431.08</v>
      </c>
      <c r="K143" s="72"/>
      <c r="L143" s="72"/>
      <c r="M143" s="25">
        <f t="shared" si="21"/>
        <v>0.46826463738508683</v>
      </c>
      <c r="N143" s="25">
        <f t="shared" si="22"/>
        <v>0.46826463738508683</v>
      </c>
      <c r="O143" s="58"/>
      <c r="P143" s="58"/>
    </row>
    <row r="144" spans="1:18" s="16" customFormat="1" ht="37.5" x14ac:dyDescent="0.25">
      <c r="A144" s="41" t="s">
        <v>336</v>
      </c>
      <c r="B144" s="41" t="s">
        <v>300</v>
      </c>
      <c r="C144" s="41" t="s">
        <v>301</v>
      </c>
      <c r="D144" s="36" t="s">
        <v>302</v>
      </c>
      <c r="E144" s="37">
        <f t="shared" ref="E144:E207" si="40">F144+G144</f>
        <v>285300</v>
      </c>
      <c r="F144" s="37">
        <v>285300</v>
      </c>
      <c r="G144" s="37">
        <v>0</v>
      </c>
      <c r="H144" s="37">
        <v>0</v>
      </c>
      <c r="I144" s="37">
        <f t="shared" ref="I144:I207" si="41">J144+K144</f>
        <v>159764</v>
      </c>
      <c r="J144" s="72">
        <v>159764</v>
      </c>
      <c r="K144" s="72"/>
      <c r="L144" s="72"/>
      <c r="M144" s="25">
        <f t="shared" ref="M144:M207" si="42">I144/E144</f>
        <v>0.55998597967052222</v>
      </c>
      <c r="N144" s="25">
        <f t="shared" ref="N144:N207" si="43">J144/F144</f>
        <v>0.55998597967052222</v>
      </c>
      <c r="O144" s="58"/>
      <c r="P144" s="58"/>
    </row>
    <row r="145" spans="1:17" s="16" customFormat="1" ht="56.25" x14ac:dyDescent="0.25">
      <c r="A145" s="41" t="s">
        <v>396</v>
      </c>
      <c r="B145" s="41">
        <v>8110</v>
      </c>
      <c r="C145" s="41" t="s">
        <v>4</v>
      </c>
      <c r="D145" s="36" t="s">
        <v>127</v>
      </c>
      <c r="E145" s="37">
        <f t="shared" si="40"/>
        <v>65000</v>
      </c>
      <c r="F145" s="37">
        <v>65000</v>
      </c>
      <c r="G145" s="37">
        <v>0</v>
      </c>
      <c r="H145" s="37">
        <v>0</v>
      </c>
      <c r="I145" s="37">
        <f t="shared" si="41"/>
        <v>53100</v>
      </c>
      <c r="J145" s="72">
        <v>53100</v>
      </c>
      <c r="K145" s="72"/>
      <c r="L145" s="72"/>
      <c r="M145" s="25">
        <f t="shared" si="42"/>
        <v>0.81692307692307697</v>
      </c>
      <c r="N145" s="25">
        <f t="shared" si="43"/>
        <v>0.81692307692307697</v>
      </c>
      <c r="O145" s="58"/>
      <c r="P145" s="58"/>
    </row>
    <row r="146" spans="1:17" s="16" customFormat="1" ht="56.25" x14ac:dyDescent="0.25">
      <c r="A146" s="32" t="s">
        <v>22</v>
      </c>
      <c r="B146" s="32" t="s">
        <v>218</v>
      </c>
      <c r="C146" s="32" t="s">
        <v>218</v>
      </c>
      <c r="D146" s="33" t="s">
        <v>337</v>
      </c>
      <c r="E146" s="34">
        <f t="shared" si="40"/>
        <v>25178145.859999999</v>
      </c>
      <c r="F146" s="34">
        <f>F147</f>
        <v>20837150</v>
      </c>
      <c r="G146" s="34">
        <f t="shared" ref="G146:H146" si="44">G147</f>
        <v>4340995.8600000003</v>
      </c>
      <c r="H146" s="34">
        <f t="shared" si="44"/>
        <v>0</v>
      </c>
      <c r="I146" s="34">
        <f t="shared" si="41"/>
        <v>7355214.6099999994</v>
      </c>
      <c r="J146" s="71">
        <f>J147</f>
        <v>7355214.6099999994</v>
      </c>
      <c r="K146" s="71">
        <f t="shared" ref="K146" si="45">K147</f>
        <v>0</v>
      </c>
      <c r="L146" s="71">
        <f t="shared" ref="L146" si="46">L147</f>
        <v>0</v>
      </c>
      <c r="M146" s="24">
        <f t="shared" si="42"/>
        <v>0.29212693622865521</v>
      </c>
      <c r="N146" s="24">
        <f t="shared" si="43"/>
        <v>0.35298563431179403</v>
      </c>
      <c r="O146" s="57">
        <f t="shared" ref="O146:O194" si="47">K146/G146</f>
        <v>0</v>
      </c>
      <c r="P146" s="57"/>
      <c r="Q146" s="28"/>
    </row>
    <row r="147" spans="1:17" s="16" customFormat="1" ht="56.25" x14ac:dyDescent="0.25">
      <c r="A147" s="32" t="s">
        <v>23</v>
      </c>
      <c r="B147" s="32" t="s">
        <v>218</v>
      </c>
      <c r="C147" s="32" t="s">
        <v>218</v>
      </c>
      <c r="D147" s="33" t="s">
        <v>337</v>
      </c>
      <c r="E147" s="34">
        <f t="shared" si="40"/>
        <v>25178145.859999999</v>
      </c>
      <c r="F147" s="34">
        <f>SUM(F148:F157)</f>
        <v>20837150</v>
      </c>
      <c r="G147" s="34">
        <f t="shared" ref="G147:H147" si="48">SUM(G148:G157)</f>
        <v>4340995.8600000003</v>
      </c>
      <c r="H147" s="34">
        <f t="shared" si="48"/>
        <v>0</v>
      </c>
      <c r="I147" s="34">
        <f t="shared" si="41"/>
        <v>7355214.6099999994</v>
      </c>
      <c r="J147" s="71">
        <f>SUM(J148:J157)</f>
        <v>7355214.6099999994</v>
      </c>
      <c r="K147" s="71">
        <f t="shared" ref="K147" si="49">SUM(K148:K157)</f>
        <v>0</v>
      </c>
      <c r="L147" s="71">
        <f t="shared" ref="L147" si="50">SUM(L148:L157)</f>
        <v>0</v>
      </c>
      <c r="M147" s="24">
        <f t="shared" si="42"/>
        <v>0.29212693622865521</v>
      </c>
      <c r="N147" s="24">
        <f t="shared" si="43"/>
        <v>0.35298563431179403</v>
      </c>
      <c r="O147" s="57">
        <f t="shared" si="47"/>
        <v>0</v>
      </c>
      <c r="P147" s="57"/>
      <c r="Q147" s="28"/>
    </row>
    <row r="148" spans="1:17" s="16" customFormat="1" ht="56.25" x14ac:dyDescent="0.25">
      <c r="A148" s="35" t="s">
        <v>79</v>
      </c>
      <c r="B148" s="35" t="s">
        <v>53</v>
      </c>
      <c r="C148" s="35" t="s">
        <v>2</v>
      </c>
      <c r="D148" s="36" t="s">
        <v>235</v>
      </c>
      <c r="E148" s="37">
        <f t="shared" si="40"/>
        <v>2996000</v>
      </c>
      <c r="F148" s="37">
        <v>2996000</v>
      </c>
      <c r="G148" s="37">
        <v>0</v>
      </c>
      <c r="H148" s="37">
        <v>0</v>
      </c>
      <c r="I148" s="37">
        <f t="shared" si="41"/>
        <v>2238191.63</v>
      </c>
      <c r="J148" s="72">
        <v>2238191.63</v>
      </c>
      <c r="K148" s="72"/>
      <c r="L148" s="72"/>
      <c r="M148" s="25">
        <f t="shared" si="42"/>
        <v>0.74705995660881175</v>
      </c>
      <c r="N148" s="25">
        <f t="shared" si="43"/>
        <v>0.74705995660881175</v>
      </c>
      <c r="O148" s="58"/>
      <c r="P148" s="58"/>
    </row>
    <row r="149" spans="1:17" s="15" customFormat="1" ht="56.25" x14ac:dyDescent="0.25">
      <c r="A149" s="41" t="s">
        <v>397</v>
      </c>
      <c r="B149" s="35" t="s">
        <v>102</v>
      </c>
      <c r="C149" s="35" t="s">
        <v>103</v>
      </c>
      <c r="D149" s="36" t="s">
        <v>104</v>
      </c>
      <c r="E149" s="37">
        <f t="shared" si="40"/>
        <v>9000</v>
      </c>
      <c r="F149" s="37">
        <v>9000</v>
      </c>
      <c r="G149" s="37">
        <v>0</v>
      </c>
      <c r="H149" s="37">
        <v>0</v>
      </c>
      <c r="I149" s="37">
        <f t="shared" si="41"/>
        <v>4380</v>
      </c>
      <c r="J149" s="72">
        <v>4380</v>
      </c>
      <c r="K149" s="72"/>
      <c r="L149" s="72"/>
      <c r="M149" s="25">
        <f t="shared" si="42"/>
        <v>0.48666666666666669</v>
      </c>
      <c r="N149" s="25">
        <f t="shared" si="43"/>
        <v>0.48666666666666669</v>
      </c>
      <c r="O149" s="58"/>
      <c r="P149" s="58"/>
    </row>
    <row r="150" spans="1:17" s="15" customFormat="1" ht="75" x14ac:dyDescent="0.25">
      <c r="A150" s="35" t="s">
        <v>82</v>
      </c>
      <c r="B150" s="35" t="s">
        <v>81</v>
      </c>
      <c r="C150" s="35" t="s">
        <v>19</v>
      </c>
      <c r="D150" s="36" t="s">
        <v>338</v>
      </c>
      <c r="E150" s="37">
        <f t="shared" si="40"/>
        <v>2429000</v>
      </c>
      <c r="F150" s="37">
        <v>2429000</v>
      </c>
      <c r="G150" s="37">
        <v>0</v>
      </c>
      <c r="H150" s="37">
        <v>0</v>
      </c>
      <c r="I150" s="37">
        <f t="shared" si="41"/>
        <v>1161421.1499999999</v>
      </c>
      <c r="J150" s="72">
        <f>558266+603155.15</f>
        <v>1161421.1499999999</v>
      </c>
      <c r="K150" s="72"/>
      <c r="L150" s="72"/>
      <c r="M150" s="25">
        <f t="shared" si="42"/>
        <v>0.47814785920131736</v>
      </c>
      <c r="N150" s="25">
        <f t="shared" si="43"/>
        <v>0.47814785920131736</v>
      </c>
      <c r="O150" s="58"/>
      <c r="P150" s="58"/>
    </row>
    <row r="151" spans="1:17" s="22" customFormat="1" ht="56.25" x14ac:dyDescent="0.25">
      <c r="A151" s="35" t="s">
        <v>25</v>
      </c>
      <c r="B151" s="35" t="s">
        <v>24</v>
      </c>
      <c r="C151" s="35" t="s">
        <v>20</v>
      </c>
      <c r="D151" s="36" t="s">
        <v>41</v>
      </c>
      <c r="E151" s="37">
        <f t="shared" si="40"/>
        <v>1332900</v>
      </c>
      <c r="F151" s="37">
        <v>1332900</v>
      </c>
      <c r="G151" s="37">
        <v>0</v>
      </c>
      <c r="H151" s="37">
        <v>0</v>
      </c>
      <c r="I151" s="37">
        <f t="shared" si="41"/>
        <v>400219.76</v>
      </c>
      <c r="J151" s="72">
        <v>400219.76</v>
      </c>
      <c r="K151" s="72"/>
      <c r="L151" s="72"/>
      <c r="M151" s="25">
        <f t="shared" si="42"/>
        <v>0.30026240528171655</v>
      </c>
      <c r="N151" s="25">
        <f t="shared" si="43"/>
        <v>0.30026240528171655</v>
      </c>
      <c r="O151" s="58"/>
      <c r="P151" s="58"/>
    </row>
    <row r="152" spans="1:17" s="22" customFormat="1" ht="56.25" x14ac:dyDescent="0.25">
      <c r="A152" s="35" t="s">
        <v>43</v>
      </c>
      <c r="B152" s="35" t="s">
        <v>44</v>
      </c>
      <c r="C152" s="35" t="s">
        <v>20</v>
      </c>
      <c r="D152" s="36" t="s">
        <v>45</v>
      </c>
      <c r="E152" s="37">
        <f t="shared" si="40"/>
        <v>1047338</v>
      </c>
      <c r="F152" s="37">
        <v>1047338</v>
      </c>
      <c r="G152" s="37">
        <v>0</v>
      </c>
      <c r="H152" s="37">
        <v>0</v>
      </c>
      <c r="I152" s="37">
        <f t="shared" si="41"/>
        <v>383391.81</v>
      </c>
      <c r="J152" s="72">
        <v>383391.81</v>
      </c>
      <c r="K152" s="72"/>
      <c r="L152" s="72"/>
      <c r="M152" s="25">
        <f t="shared" si="42"/>
        <v>0.36606311429548055</v>
      </c>
      <c r="N152" s="25">
        <f t="shared" si="43"/>
        <v>0.36606311429548055</v>
      </c>
      <c r="O152" s="58"/>
      <c r="P152" s="58"/>
    </row>
    <row r="153" spans="1:17" s="22" customFormat="1" ht="18.75" x14ac:dyDescent="0.25">
      <c r="A153" s="35">
        <v>1115048</v>
      </c>
      <c r="B153" s="35">
        <v>5048</v>
      </c>
      <c r="C153" s="41" t="s">
        <v>20</v>
      </c>
      <c r="D153" s="36" t="s">
        <v>398</v>
      </c>
      <c r="E153" s="37">
        <f t="shared" si="40"/>
        <v>8435850</v>
      </c>
      <c r="F153" s="37">
        <v>8435850</v>
      </c>
      <c r="G153" s="37">
        <v>0</v>
      </c>
      <c r="H153" s="37"/>
      <c r="I153" s="37">
        <f t="shared" si="41"/>
        <v>0</v>
      </c>
      <c r="J153" s="72"/>
      <c r="K153" s="72"/>
      <c r="L153" s="72"/>
      <c r="M153" s="25">
        <f t="shared" si="42"/>
        <v>0</v>
      </c>
      <c r="N153" s="25">
        <f t="shared" si="43"/>
        <v>0</v>
      </c>
      <c r="O153" s="58"/>
      <c r="P153" s="58"/>
    </row>
    <row r="154" spans="1:17" s="22" customFormat="1" ht="75" x14ac:dyDescent="0.25">
      <c r="A154" s="35" t="s">
        <v>47</v>
      </c>
      <c r="B154" s="35" t="s">
        <v>48</v>
      </c>
      <c r="C154" s="35" t="s">
        <v>20</v>
      </c>
      <c r="D154" s="36" t="s">
        <v>399</v>
      </c>
      <c r="E154" s="37">
        <f t="shared" si="40"/>
        <v>4200462</v>
      </c>
      <c r="F154" s="37">
        <v>4200462</v>
      </c>
      <c r="G154" s="37">
        <v>0</v>
      </c>
      <c r="H154" s="37">
        <v>0</v>
      </c>
      <c r="I154" s="37">
        <f t="shared" si="41"/>
        <v>2808624.26</v>
      </c>
      <c r="J154" s="72">
        <v>2808624.26</v>
      </c>
      <c r="K154" s="72"/>
      <c r="L154" s="72"/>
      <c r="M154" s="25">
        <f t="shared" si="42"/>
        <v>0.66864651078857507</v>
      </c>
      <c r="N154" s="25">
        <f t="shared" si="43"/>
        <v>0.66864651078857507</v>
      </c>
      <c r="O154" s="58"/>
      <c r="P154" s="58"/>
    </row>
    <row r="155" spans="1:17" s="22" customFormat="1" ht="56.25" x14ac:dyDescent="0.25">
      <c r="A155" s="35">
        <v>1115062</v>
      </c>
      <c r="B155" s="35">
        <v>5062</v>
      </c>
      <c r="C155" s="41" t="s">
        <v>20</v>
      </c>
      <c r="D155" s="36" t="s">
        <v>410</v>
      </c>
      <c r="E155" s="37">
        <f t="shared" si="40"/>
        <v>300000</v>
      </c>
      <c r="F155" s="37">
        <v>300000</v>
      </c>
      <c r="G155" s="37"/>
      <c r="H155" s="37"/>
      <c r="I155" s="37">
        <f t="shared" si="41"/>
        <v>300000</v>
      </c>
      <c r="J155" s="72">
        <v>300000</v>
      </c>
      <c r="K155" s="72"/>
      <c r="L155" s="72"/>
      <c r="M155" s="25">
        <f t="shared" si="42"/>
        <v>1</v>
      </c>
      <c r="N155" s="25">
        <f t="shared" si="43"/>
        <v>1</v>
      </c>
      <c r="O155" s="58"/>
      <c r="P155" s="58"/>
    </row>
    <row r="156" spans="1:17" s="22" customFormat="1" ht="37.5" x14ac:dyDescent="0.25">
      <c r="A156" s="41" t="s">
        <v>339</v>
      </c>
      <c r="B156" s="41" t="s">
        <v>300</v>
      </c>
      <c r="C156" s="41" t="s">
        <v>301</v>
      </c>
      <c r="D156" s="36" t="s">
        <v>302</v>
      </c>
      <c r="E156" s="37">
        <f t="shared" si="40"/>
        <v>86600</v>
      </c>
      <c r="F156" s="37">
        <v>86600</v>
      </c>
      <c r="G156" s="37">
        <v>0</v>
      </c>
      <c r="H156" s="37"/>
      <c r="I156" s="37">
        <f t="shared" si="41"/>
        <v>58986</v>
      </c>
      <c r="J156" s="72">
        <f>32274+26712</f>
        <v>58986</v>
      </c>
      <c r="K156" s="72"/>
      <c r="L156" s="72"/>
      <c r="M156" s="25">
        <f t="shared" si="42"/>
        <v>0.68113163972286372</v>
      </c>
      <c r="N156" s="25">
        <f t="shared" si="43"/>
        <v>0.68113163972286372</v>
      </c>
      <c r="O156" s="58"/>
      <c r="P156" s="58"/>
    </row>
    <row r="157" spans="1:17" s="23" customFormat="1" ht="168.75" x14ac:dyDescent="0.25">
      <c r="A157" s="41" t="s">
        <v>400</v>
      </c>
      <c r="B157" s="41" t="s">
        <v>343</v>
      </c>
      <c r="C157" s="41" t="s">
        <v>21</v>
      </c>
      <c r="D157" s="36" t="s">
        <v>145</v>
      </c>
      <c r="E157" s="37">
        <f t="shared" si="40"/>
        <v>4340995.8600000003</v>
      </c>
      <c r="F157" s="37">
        <v>0</v>
      </c>
      <c r="G157" s="37">
        <v>4340995.8600000003</v>
      </c>
      <c r="H157" s="37"/>
      <c r="I157" s="37">
        <f t="shared" si="41"/>
        <v>0</v>
      </c>
      <c r="J157" s="72"/>
      <c r="K157" s="72"/>
      <c r="L157" s="72"/>
      <c r="M157" s="25">
        <f t="shared" si="42"/>
        <v>0</v>
      </c>
      <c r="N157" s="25"/>
      <c r="O157" s="58"/>
      <c r="P157" s="58"/>
    </row>
    <row r="158" spans="1:17" s="23" customFormat="1" ht="75" x14ac:dyDescent="0.25">
      <c r="A158" s="32" t="s">
        <v>83</v>
      </c>
      <c r="B158" s="32" t="s">
        <v>218</v>
      </c>
      <c r="C158" s="32" t="s">
        <v>218</v>
      </c>
      <c r="D158" s="33" t="s">
        <v>248</v>
      </c>
      <c r="E158" s="34">
        <f t="shared" si="40"/>
        <v>264177854.75999999</v>
      </c>
      <c r="F158" s="34">
        <f>F159</f>
        <v>252784787</v>
      </c>
      <c r="G158" s="34">
        <f t="shared" ref="G158:H158" si="51">G159</f>
        <v>11393067.76</v>
      </c>
      <c r="H158" s="34">
        <f t="shared" si="51"/>
        <v>4777000</v>
      </c>
      <c r="I158" s="34">
        <f t="shared" si="41"/>
        <v>186611727.47</v>
      </c>
      <c r="J158" s="71">
        <f>J159</f>
        <v>182786201.38999999</v>
      </c>
      <c r="K158" s="71">
        <f t="shared" ref="K158" si="52">K159</f>
        <v>3825526.08</v>
      </c>
      <c r="L158" s="71">
        <f t="shared" ref="L158" si="53">L159</f>
        <v>3758733.6</v>
      </c>
      <c r="M158" s="24">
        <f t="shared" si="42"/>
        <v>0.70638671678037823</v>
      </c>
      <c r="N158" s="24">
        <f t="shared" si="43"/>
        <v>0.72309019684004949</v>
      </c>
      <c r="O158" s="57">
        <f t="shared" si="47"/>
        <v>0.33577664599091267</v>
      </c>
      <c r="P158" s="57">
        <f t="shared" ref="P158:P191" si="54">L158/H158</f>
        <v>0.78683977391668414</v>
      </c>
    </row>
    <row r="159" spans="1:17" s="23" customFormat="1" ht="75" x14ac:dyDescent="0.25">
      <c r="A159" s="32" t="s">
        <v>84</v>
      </c>
      <c r="B159" s="32" t="s">
        <v>218</v>
      </c>
      <c r="C159" s="32" t="s">
        <v>218</v>
      </c>
      <c r="D159" s="33" t="s">
        <v>248</v>
      </c>
      <c r="E159" s="34">
        <f t="shared" si="40"/>
        <v>264177854.75999999</v>
      </c>
      <c r="F159" s="34">
        <f>SUM(F160:F179)</f>
        <v>252784787</v>
      </c>
      <c r="G159" s="34">
        <f t="shared" ref="G159:H159" si="55">SUM(G160:G179)</f>
        <v>11393067.76</v>
      </c>
      <c r="H159" s="34">
        <f t="shared" si="55"/>
        <v>4777000</v>
      </c>
      <c r="I159" s="34">
        <f t="shared" si="41"/>
        <v>186611727.47</v>
      </c>
      <c r="J159" s="71">
        <f>SUM(J160:J179)</f>
        <v>182786201.38999999</v>
      </c>
      <c r="K159" s="71">
        <f t="shared" ref="K159" si="56">SUM(K160:K179)</f>
        <v>3825526.08</v>
      </c>
      <c r="L159" s="71">
        <f t="shared" ref="L159" si="57">SUM(L160:L179)</f>
        <v>3758733.6</v>
      </c>
      <c r="M159" s="24">
        <f t="shared" si="42"/>
        <v>0.70638671678037823</v>
      </c>
      <c r="N159" s="24">
        <f t="shared" si="43"/>
        <v>0.72309019684004949</v>
      </c>
      <c r="O159" s="57">
        <f t="shared" si="47"/>
        <v>0.33577664599091267</v>
      </c>
      <c r="P159" s="57">
        <f t="shared" si="54"/>
        <v>0.78683977391668414</v>
      </c>
    </row>
    <row r="160" spans="1:17" s="23" customFormat="1" ht="56.25" x14ac:dyDescent="0.25">
      <c r="A160" s="35" t="s">
        <v>85</v>
      </c>
      <c r="B160" s="35" t="s">
        <v>53</v>
      </c>
      <c r="C160" s="35" t="s">
        <v>2</v>
      </c>
      <c r="D160" s="36" t="s">
        <v>235</v>
      </c>
      <c r="E160" s="37">
        <f t="shared" si="40"/>
        <v>6165580</v>
      </c>
      <c r="F160" s="37">
        <v>6165580</v>
      </c>
      <c r="G160" s="37">
        <v>0</v>
      </c>
      <c r="H160" s="37">
        <v>0</v>
      </c>
      <c r="I160" s="37">
        <f t="shared" si="41"/>
        <v>4348937.1100000003</v>
      </c>
      <c r="J160" s="72">
        <v>4348937.1100000003</v>
      </c>
      <c r="K160" s="72"/>
      <c r="L160" s="72"/>
      <c r="M160" s="25">
        <f t="shared" si="42"/>
        <v>0.70535734026644703</v>
      </c>
      <c r="N160" s="25">
        <f t="shared" si="43"/>
        <v>0.70535734026644703</v>
      </c>
      <c r="O160" s="58"/>
      <c r="P160" s="58"/>
    </row>
    <row r="161" spans="1:16" s="23" customFormat="1" ht="56.25" x14ac:dyDescent="0.25">
      <c r="A161" s="35" t="s">
        <v>175</v>
      </c>
      <c r="B161" s="35" t="s">
        <v>102</v>
      </c>
      <c r="C161" s="35" t="s">
        <v>103</v>
      </c>
      <c r="D161" s="36" t="s">
        <v>104</v>
      </c>
      <c r="E161" s="37">
        <f t="shared" si="40"/>
        <v>10000</v>
      </c>
      <c r="F161" s="37">
        <v>10000</v>
      </c>
      <c r="G161" s="37">
        <v>0</v>
      </c>
      <c r="H161" s="37">
        <v>0</v>
      </c>
      <c r="I161" s="37">
        <f t="shared" si="41"/>
        <v>3600</v>
      </c>
      <c r="J161" s="72">
        <v>3600</v>
      </c>
      <c r="K161" s="72"/>
      <c r="L161" s="72"/>
      <c r="M161" s="25">
        <f t="shared" si="42"/>
        <v>0.36</v>
      </c>
      <c r="N161" s="25">
        <f t="shared" si="43"/>
        <v>0.36</v>
      </c>
      <c r="O161" s="58"/>
      <c r="P161" s="58"/>
    </row>
    <row r="162" spans="1:16" s="23" customFormat="1" ht="37.5" x14ac:dyDescent="0.25">
      <c r="A162" s="35" t="s">
        <v>129</v>
      </c>
      <c r="B162" s="35" t="s">
        <v>128</v>
      </c>
      <c r="C162" s="35" t="s">
        <v>111</v>
      </c>
      <c r="D162" s="36" t="s">
        <v>112</v>
      </c>
      <c r="E162" s="37">
        <f t="shared" si="40"/>
        <v>30000</v>
      </c>
      <c r="F162" s="37">
        <v>30000</v>
      </c>
      <c r="G162" s="37">
        <v>0</v>
      </c>
      <c r="H162" s="37">
        <v>0</v>
      </c>
      <c r="I162" s="37">
        <f t="shared" si="41"/>
        <v>0</v>
      </c>
      <c r="J162" s="72"/>
      <c r="K162" s="72"/>
      <c r="L162" s="72"/>
      <c r="M162" s="25">
        <f t="shared" si="42"/>
        <v>0</v>
      </c>
      <c r="N162" s="25">
        <f t="shared" si="43"/>
        <v>0</v>
      </c>
      <c r="O162" s="58"/>
      <c r="P162" s="58"/>
    </row>
    <row r="163" spans="1:16" s="23" customFormat="1" ht="37.5" x14ac:dyDescent="0.25">
      <c r="A163" s="35">
        <v>1216011</v>
      </c>
      <c r="B163" s="35">
        <v>6011</v>
      </c>
      <c r="C163" s="41" t="s">
        <v>262</v>
      </c>
      <c r="D163" s="36" t="s">
        <v>96</v>
      </c>
      <c r="E163" s="37">
        <f t="shared" si="40"/>
        <v>2681736</v>
      </c>
      <c r="F163" s="37">
        <v>2681736</v>
      </c>
      <c r="G163" s="37">
        <v>0</v>
      </c>
      <c r="H163" s="37"/>
      <c r="I163" s="37">
        <f t="shared" si="41"/>
        <v>548112.75</v>
      </c>
      <c r="J163" s="72">
        <v>548112.75</v>
      </c>
      <c r="K163" s="72"/>
      <c r="L163" s="72"/>
      <c r="M163" s="25">
        <f t="shared" si="42"/>
        <v>0.20438728868165995</v>
      </c>
      <c r="N163" s="25">
        <f t="shared" si="43"/>
        <v>0.20438728868165995</v>
      </c>
      <c r="O163" s="58"/>
      <c r="P163" s="58"/>
    </row>
    <row r="164" spans="1:16" s="23" customFormat="1" ht="37.5" x14ac:dyDescent="0.25">
      <c r="A164" s="35">
        <v>1216013</v>
      </c>
      <c r="B164" s="35">
        <v>6013</v>
      </c>
      <c r="C164" s="41" t="s">
        <v>8</v>
      </c>
      <c r="D164" s="36" t="s">
        <v>401</v>
      </c>
      <c r="E164" s="37">
        <f t="shared" si="40"/>
        <v>4343800</v>
      </c>
      <c r="F164" s="37">
        <v>4343800</v>
      </c>
      <c r="G164" s="37">
        <v>0</v>
      </c>
      <c r="H164" s="37"/>
      <c r="I164" s="37">
        <f t="shared" si="41"/>
        <v>181999.2</v>
      </c>
      <c r="J164" s="72">
        <v>181999.2</v>
      </c>
      <c r="K164" s="72"/>
      <c r="L164" s="72"/>
      <c r="M164" s="25">
        <f t="shared" si="42"/>
        <v>4.1898614116672041E-2</v>
      </c>
      <c r="N164" s="25">
        <f t="shared" si="43"/>
        <v>4.1898614116672041E-2</v>
      </c>
      <c r="O164" s="58"/>
      <c r="P164" s="58"/>
    </row>
    <row r="165" spans="1:16" s="23" customFormat="1" ht="37.5" x14ac:dyDescent="0.25">
      <c r="A165" s="35" t="s">
        <v>114</v>
      </c>
      <c r="B165" s="35" t="s">
        <v>113</v>
      </c>
      <c r="C165" s="35" t="s">
        <v>8</v>
      </c>
      <c r="D165" s="36" t="s">
        <v>115</v>
      </c>
      <c r="E165" s="37">
        <f t="shared" si="40"/>
        <v>300000</v>
      </c>
      <c r="F165" s="37">
        <v>300000</v>
      </c>
      <c r="G165" s="37">
        <v>0</v>
      </c>
      <c r="H165" s="37">
        <v>0</v>
      </c>
      <c r="I165" s="37">
        <f t="shared" si="41"/>
        <v>219890</v>
      </c>
      <c r="J165" s="72">
        <v>219890</v>
      </c>
      <c r="K165" s="72"/>
      <c r="L165" s="72"/>
      <c r="M165" s="25">
        <f t="shared" si="42"/>
        <v>0.73296666666666666</v>
      </c>
      <c r="N165" s="25">
        <f t="shared" si="43"/>
        <v>0.73296666666666666</v>
      </c>
      <c r="O165" s="58"/>
      <c r="P165" s="58"/>
    </row>
    <row r="166" spans="1:16" s="23" customFormat="1" ht="56.25" x14ac:dyDescent="0.25">
      <c r="A166" s="35" t="s">
        <v>142</v>
      </c>
      <c r="B166" s="35" t="s">
        <v>143</v>
      </c>
      <c r="C166" s="35" t="s">
        <v>8</v>
      </c>
      <c r="D166" s="36" t="s">
        <v>249</v>
      </c>
      <c r="E166" s="37">
        <f t="shared" si="40"/>
        <v>2940200</v>
      </c>
      <c r="F166" s="37">
        <v>2940200</v>
      </c>
      <c r="G166" s="37">
        <v>0</v>
      </c>
      <c r="H166" s="37">
        <v>0</v>
      </c>
      <c r="I166" s="37">
        <f t="shared" si="41"/>
        <v>1444598.75</v>
      </c>
      <c r="J166" s="72">
        <f>1444598.75</f>
        <v>1444598.75</v>
      </c>
      <c r="K166" s="72"/>
      <c r="L166" s="72"/>
      <c r="M166" s="25">
        <f t="shared" si="42"/>
        <v>0.4913266954628937</v>
      </c>
      <c r="N166" s="25">
        <f t="shared" si="43"/>
        <v>0.4913266954628937</v>
      </c>
      <c r="O166" s="58"/>
      <c r="P166" s="58"/>
    </row>
    <row r="167" spans="1:16" s="23" customFormat="1" ht="18.75" x14ac:dyDescent="0.25">
      <c r="A167" s="35" t="s">
        <v>86</v>
      </c>
      <c r="B167" s="35" t="s">
        <v>38</v>
      </c>
      <c r="C167" s="35" t="s">
        <v>8</v>
      </c>
      <c r="D167" s="36" t="s">
        <v>227</v>
      </c>
      <c r="E167" s="37">
        <f t="shared" si="40"/>
        <v>103661696</v>
      </c>
      <c r="F167" s="37">
        <v>103661696</v>
      </c>
      <c r="G167" s="37">
        <v>0</v>
      </c>
      <c r="H167" s="37">
        <v>0</v>
      </c>
      <c r="I167" s="37">
        <f t="shared" si="41"/>
        <v>68783039.599999994</v>
      </c>
      <c r="J167" s="72">
        <f>46934539.77+15773086.08+6075413.75</f>
        <v>68783039.599999994</v>
      </c>
      <c r="K167" s="72"/>
      <c r="L167" s="72"/>
      <c r="M167" s="25">
        <f t="shared" si="42"/>
        <v>0.66353380519647287</v>
      </c>
      <c r="N167" s="25">
        <f t="shared" si="43"/>
        <v>0.66353380519647287</v>
      </c>
      <c r="O167" s="58"/>
      <c r="P167" s="58"/>
    </row>
    <row r="168" spans="1:16" s="23" customFormat="1" ht="93.75" x14ac:dyDescent="0.25">
      <c r="A168" s="35">
        <v>1216091</v>
      </c>
      <c r="B168" s="35">
        <v>6091</v>
      </c>
      <c r="C168" s="41" t="s">
        <v>340</v>
      </c>
      <c r="D168" s="36" t="s">
        <v>402</v>
      </c>
      <c r="E168" s="37">
        <f t="shared" si="40"/>
        <v>4777000</v>
      </c>
      <c r="F168" s="37">
        <v>0</v>
      </c>
      <c r="G168" s="37">
        <v>4777000</v>
      </c>
      <c r="H168" s="37">
        <v>4777000</v>
      </c>
      <c r="I168" s="37">
        <f t="shared" si="41"/>
        <v>3758733.6</v>
      </c>
      <c r="J168" s="72"/>
      <c r="K168" s="72">
        <v>3758733.6</v>
      </c>
      <c r="L168" s="72">
        <v>3758733.6</v>
      </c>
      <c r="M168" s="25">
        <f t="shared" si="42"/>
        <v>0.78683977391668414</v>
      </c>
      <c r="N168" s="25"/>
      <c r="O168" s="58">
        <f t="shared" si="47"/>
        <v>0.78683977391668414</v>
      </c>
      <c r="P168" s="58">
        <f t="shared" si="54"/>
        <v>0.78683977391668414</v>
      </c>
    </row>
    <row r="169" spans="1:16" s="23" customFormat="1" ht="37.5" x14ac:dyDescent="0.25">
      <c r="A169" s="35">
        <v>1216096</v>
      </c>
      <c r="B169" s="35">
        <v>6096</v>
      </c>
      <c r="C169" s="41" t="s">
        <v>340</v>
      </c>
      <c r="D169" s="36" t="s">
        <v>423</v>
      </c>
      <c r="E169" s="37">
        <f t="shared" si="40"/>
        <v>429405</v>
      </c>
      <c r="F169" s="37">
        <v>429405</v>
      </c>
      <c r="G169" s="37">
        <v>0</v>
      </c>
      <c r="H169" s="37"/>
      <c r="I169" s="37">
        <f t="shared" si="41"/>
        <v>0</v>
      </c>
      <c r="J169" s="72"/>
      <c r="K169" s="72"/>
      <c r="L169" s="72"/>
      <c r="M169" s="25">
        <f t="shared" si="42"/>
        <v>0</v>
      </c>
      <c r="N169" s="25">
        <f t="shared" si="43"/>
        <v>0</v>
      </c>
      <c r="O169" s="58"/>
      <c r="P169" s="58"/>
    </row>
    <row r="170" spans="1:16" s="23" customFormat="1" ht="56.25" x14ac:dyDescent="0.25">
      <c r="A170" s="35" t="s">
        <v>116</v>
      </c>
      <c r="B170" s="35" t="s">
        <v>94</v>
      </c>
      <c r="C170" s="35" t="s">
        <v>39</v>
      </c>
      <c r="D170" s="36" t="s">
        <v>95</v>
      </c>
      <c r="E170" s="37">
        <f t="shared" si="40"/>
        <v>32000000</v>
      </c>
      <c r="F170" s="37">
        <v>32000000</v>
      </c>
      <c r="G170" s="37">
        <v>0</v>
      </c>
      <c r="H170" s="37">
        <v>0</v>
      </c>
      <c r="I170" s="37">
        <f t="shared" si="41"/>
        <v>20279384.399999999</v>
      </c>
      <c r="J170" s="72">
        <v>20279384.399999999</v>
      </c>
      <c r="K170" s="72"/>
      <c r="L170" s="72"/>
      <c r="M170" s="25">
        <f t="shared" si="42"/>
        <v>0.63373076249999993</v>
      </c>
      <c r="N170" s="25">
        <f t="shared" si="43"/>
        <v>0.63373076249999993</v>
      </c>
      <c r="O170" s="58"/>
      <c r="P170" s="58"/>
    </row>
    <row r="171" spans="1:16" s="23" customFormat="1" ht="37.5" x14ac:dyDescent="0.25">
      <c r="A171" s="41" t="s">
        <v>341</v>
      </c>
      <c r="B171" s="41" t="s">
        <v>300</v>
      </c>
      <c r="C171" s="41" t="s">
        <v>301</v>
      </c>
      <c r="D171" s="36" t="s">
        <v>302</v>
      </c>
      <c r="E171" s="37">
        <f t="shared" si="40"/>
        <v>86420</v>
      </c>
      <c r="F171" s="37">
        <v>86420</v>
      </c>
      <c r="G171" s="37">
        <v>0</v>
      </c>
      <c r="H171" s="37">
        <v>0</v>
      </c>
      <c r="I171" s="37">
        <f t="shared" si="41"/>
        <v>19802</v>
      </c>
      <c r="J171" s="72">
        <v>19802</v>
      </c>
      <c r="K171" s="72"/>
      <c r="L171" s="72"/>
      <c r="M171" s="25">
        <f t="shared" si="42"/>
        <v>0.22913677389493173</v>
      </c>
      <c r="N171" s="25">
        <f t="shared" si="43"/>
        <v>0.22913677389493173</v>
      </c>
      <c r="O171" s="58"/>
      <c r="P171" s="58"/>
    </row>
    <row r="172" spans="1:16" s="16" customFormat="1" ht="18.75" x14ac:dyDescent="0.25">
      <c r="A172" s="41" t="s">
        <v>403</v>
      </c>
      <c r="B172" s="41" t="s">
        <v>304</v>
      </c>
      <c r="C172" s="41" t="s">
        <v>6</v>
      </c>
      <c r="D172" s="36" t="s">
        <v>7</v>
      </c>
      <c r="E172" s="37">
        <f t="shared" si="40"/>
        <v>77727</v>
      </c>
      <c r="F172" s="37">
        <v>77727</v>
      </c>
      <c r="G172" s="37">
        <v>0</v>
      </c>
      <c r="H172" s="37"/>
      <c r="I172" s="37">
        <f t="shared" si="41"/>
        <v>77725.320000000007</v>
      </c>
      <c r="J172" s="72">
        <v>77725.320000000007</v>
      </c>
      <c r="K172" s="72"/>
      <c r="L172" s="72"/>
      <c r="M172" s="25">
        <f t="shared" si="42"/>
        <v>0.9999783858890734</v>
      </c>
      <c r="N172" s="25">
        <f t="shared" si="43"/>
        <v>0.9999783858890734</v>
      </c>
      <c r="O172" s="58"/>
      <c r="P172" s="58"/>
    </row>
    <row r="173" spans="1:16" s="16" customFormat="1" ht="168.75" x14ac:dyDescent="0.25">
      <c r="A173" s="41" t="s">
        <v>342</v>
      </c>
      <c r="B173" s="41" t="s">
        <v>343</v>
      </c>
      <c r="C173" s="41" t="s">
        <v>21</v>
      </c>
      <c r="D173" s="36" t="s">
        <v>145</v>
      </c>
      <c r="E173" s="37">
        <f t="shared" si="40"/>
        <v>5526883.7599999998</v>
      </c>
      <c r="F173" s="37">
        <v>0</v>
      </c>
      <c r="G173" s="37">
        <v>5526883.7599999998</v>
      </c>
      <c r="H173" s="37"/>
      <c r="I173" s="37">
        <f t="shared" si="41"/>
        <v>66792.479999999996</v>
      </c>
      <c r="J173" s="72"/>
      <c r="K173" s="72">
        <v>66792.479999999996</v>
      </c>
      <c r="L173" s="72"/>
      <c r="M173" s="25">
        <f t="shared" si="42"/>
        <v>1.2085016240688948E-2</v>
      </c>
      <c r="N173" s="25"/>
      <c r="O173" s="58">
        <f t="shared" si="47"/>
        <v>1.2085016240688948E-2</v>
      </c>
      <c r="P173" s="58"/>
    </row>
    <row r="174" spans="1:16" s="16" customFormat="1" ht="37.5" x14ac:dyDescent="0.25">
      <c r="A174" s="35" t="s">
        <v>344</v>
      </c>
      <c r="B174" s="35" t="s">
        <v>126</v>
      </c>
      <c r="C174" s="35" t="s">
        <v>21</v>
      </c>
      <c r="D174" s="36" t="s">
        <v>250</v>
      </c>
      <c r="E174" s="37">
        <f t="shared" si="40"/>
        <v>93348391</v>
      </c>
      <c r="F174" s="37">
        <v>93348391</v>
      </c>
      <c r="G174" s="37">
        <v>0</v>
      </c>
      <c r="H174" s="37">
        <v>0</v>
      </c>
      <c r="I174" s="37">
        <f t="shared" si="41"/>
        <v>83098223.180000007</v>
      </c>
      <c r="J174" s="72">
        <f>13831442.18+39266781+30000000</f>
        <v>83098223.180000007</v>
      </c>
      <c r="K174" s="72"/>
      <c r="L174" s="72"/>
      <c r="M174" s="25">
        <f t="shared" si="42"/>
        <v>0.89019448851560823</v>
      </c>
      <c r="N174" s="25">
        <f t="shared" si="43"/>
        <v>0.89019448851560823</v>
      </c>
      <c r="O174" s="58"/>
      <c r="P174" s="58"/>
    </row>
    <row r="175" spans="1:16" s="26" customFormat="1" ht="56.25" x14ac:dyDescent="0.25">
      <c r="A175" s="35" t="s">
        <v>345</v>
      </c>
      <c r="B175" s="35" t="s">
        <v>346</v>
      </c>
      <c r="C175" s="35" t="s">
        <v>4</v>
      </c>
      <c r="D175" s="36" t="s">
        <v>127</v>
      </c>
      <c r="E175" s="37">
        <f t="shared" si="40"/>
        <v>3839590</v>
      </c>
      <c r="F175" s="37">
        <v>3839590</v>
      </c>
      <c r="G175" s="37">
        <v>0</v>
      </c>
      <c r="H175" s="37">
        <v>0</v>
      </c>
      <c r="I175" s="37">
        <f t="shared" si="41"/>
        <v>2849229.48</v>
      </c>
      <c r="J175" s="72">
        <f>2694488.51+154740.97</f>
        <v>2849229.48</v>
      </c>
      <c r="K175" s="72"/>
      <c r="L175" s="72"/>
      <c r="M175" s="25">
        <f t="shared" si="42"/>
        <v>0.74206607476319086</v>
      </c>
      <c r="N175" s="25">
        <f t="shared" si="43"/>
        <v>0.74206607476319086</v>
      </c>
      <c r="O175" s="58"/>
      <c r="P175" s="58"/>
    </row>
    <row r="176" spans="1:16" s="16" customFormat="1" ht="37.5" x14ac:dyDescent="0.25">
      <c r="A176" s="41" t="s">
        <v>404</v>
      </c>
      <c r="B176" s="35">
        <v>8340</v>
      </c>
      <c r="C176" s="35" t="s">
        <v>40</v>
      </c>
      <c r="D176" s="36" t="s">
        <v>125</v>
      </c>
      <c r="E176" s="37">
        <f t="shared" si="40"/>
        <v>1089184</v>
      </c>
      <c r="F176" s="37">
        <v>0</v>
      </c>
      <c r="G176" s="37">
        <v>1089184</v>
      </c>
      <c r="H176" s="37"/>
      <c r="I176" s="37">
        <f t="shared" si="41"/>
        <v>0</v>
      </c>
      <c r="J176" s="72"/>
      <c r="K176" s="72"/>
      <c r="L176" s="72"/>
      <c r="M176" s="25">
        <f t="shared" si="42"/>
        <v>0</v>
      </c>
      <c r="N176" s="25"/>
      <c r="O176" s="58"/>
      <c r="P176" s="58"/>
    </row>
    <row r="177" spans="1:16" s="15" customFormat="1" ht="75" x14ac:dyDescent="0.25">
      <c r="A177" s="41" t="s">
        <v>424</v>
      </c>
      <c r="B177" s="35">
        <v>8742</v>
      </c>
      <c r="C177" s="41" t="s">
        <v>8</v>
      </c>
      <c r="D177" s="36" t="s">
        <v>425</v>
      </c>
      <c r="E177" s="37">
        <f t="shared" si="40"/>
        <v>186991</v>
      </c>
      <c r="F177" s="37">
        <v>186991</v>
      </c>
      <c r="G177" s="37"/>
      <c r="H177" s="37"/>
      <c r="I177" s="37">
        <f t="shared" si="41"/>
        <v>0</v>
      </c>
      <c r="J177" s="72"/>
      <c r="K177" s="72"/>
      <c r="L177" s="72"/>
      <c r="M177" s="25">
        <f t="shared" si="42"/>
        <v>0</v>
      </c>
      <c r="N177" s="25"/>
      <c r="O177" s="58"/>
      <c r="P177" s="58"/>
    </row>
    <row r="178" spans="1:16" s="15" customFormat="1" ht="93.75" x14ac:dyDescent="0.25">
      <c r="A178" s="41" t="s">
        <v>426</v>
      </c>
      <c r="B178" s="35">
        <v>8745</v>
      </c>
      <c r="C178" s="41" t="s">
        <v>340</v>
      </c>
      <c r="D178" s="36" t="s">
        <v>427</v>
      </c>
      <c r="E178" s="37">
        <f t="shared" si="40"/>
        <v>1348824</v>
      </c>
      <c r="F178" s="37">
        <v>1348824</v>
      </c>
      <c r="G178" s="37">
        <v>0</v>
      </c>
      <c r="H178" s="37"/>
      <c r="I178" s="37">
        <f t="shared" si="41"/>
        <v>0</v>
      </c>
      <c r="J178" s="72"/>
      <c r="K178" s="72"/>
      <c r="L178" s="72"/>
      <c r="M178" s="25">
        <f t="shared" si="42"/>
        <v>0</v>
      </c>
      <c r="N178" s="25"/>
      <c r="O178" s="58"/>
      <c r="P178" s="58"/>
    </row>
    <row r="179" spans="1:16" s="15" customFormat="1" ht="93.75" x14ac:dyDescent="0.25">
      <c r="A179" s="41" t="s">
        <v>428</v>
      </c>
      <c r="B179" s="35">
        <v>8746</v>
      </c>
      <c r="C179" s="41" t="s">
        <v>340</v>
      </c>
      <c r="D179" s="36" t="s">
        <v>419</v>
      </c>
      <c r="E179" s="37">
        <f t="shared" si="40"/>
        <v>1334427</v>
      </c>
      <c r="F179" s="37">
        <v>1334427</v>
      </c>
      <c r="G179" s="37"/>
      <c r="H179" s="37"/>
      <c r="I179" s="37">
        <f t="shared" si="41"/>
        <v>931659.6</v>
      </c>
      <c r="J179" s="72">
        <v>931659.6</v>
      </c>
      <c r="K179" s="72"/>
      <c r="L179" s="72"/>
      <c r="M179" s="25">
        <f t="shared" si="42"/>
        <v>0.69817202439698833</v>
      </c>
      <c r="N179" s="25">
        <f t="shared" si="43"/>
        <v>0.69817202439698833</v>
      </c>
      <c r="O179" s="58"/>
      <c r="P179" s="58"/>
    </row>
    <row r="180" spans="1:16" s="16" customFormat="1" ht="56.25" x14ac:dyDescent="0.25">
      <c r="A180" s="32" t="s">
        <v>26</v>
      </c>
      <c r="B180" s="32" t="s">
        <v>218</v>
      </c>
      <c r="C180" s="32" t="s">
        <v>218</v>
      </c>
      <c r="D180" s="33" t="s">
        <v>251</v>
      </c>
      <c r="E180" s="34">
        <f t="shared" si="40"/>
        <v>131340084.20999999</v>
      </c>
      <c r="F180" s="34">
        <f>F181</f>
        <v>24895251</v>
      </c>
      <c r="G180" s="34">
        <f t="shared" ref="G180:H180" si="58">G181</f>
        <v>106444833.20999999</v>
      </c>
      <c r="H180" s="34">
        <f t="shared" si="58"/>
        <v>104810542.5</v>
      </c>
      <c r="I180" s="34">
        <f t="shared" si="41"/>
        <v>62738043.049999997</v>
      </c>
      <c r="J180" s="71">
        <f>J181</f>
        <v>5889749.71</v>
      </c>
      <c r="K180" s="71">
        <f t="shared" ref="K180" si="59">K181</f>
        <v>56848293.339999996</v>
      </c>
      <c r="L180" s="71">
        <f t="shared" ref="L180" si="60">L181</f>
        <v>55214002.629999995</v>
      </c>
      <c r="M180" s="24">
        <f t="shared" si="42"/>
        <v>0.47767628159646969</v>
      </c>
      <c r="N180" s="24">
        <f t="shared" si="43"/>
        <v>0.23658125439265504</v>
      </c>
      <c r="O180" s="57">
        <f t="shared" si="47"/>
        <v>0.53406343573150872</v>
      </c>
      <c r="P180" s="57">
        <f t="shared" si="54"/>
        <v>0.52679817614721336</v>
      </c>
    </row>
    <row r="181" spans="1:16" s="15" customFormat="1" ht="56.25" x14ac:dyDescent="0.25">
      <c r="A181" s="32" t="s">
        <v>27</v>
      </c>
      <c r="B181" s="32" t="s">
        <v>218</v>
      </c>
      <c r="C181" s="32" t="s">
        <v>218</v>
      </c>
      <c r="D181" s="33" t="s">
        <v>251</v>
      </c>
      <c r="E181" s="34">
        <f t="shared" si="40"/>
        <v>131340084.20999999</v>
      </c>
      <c r="F181" s="34">
        <f>SUM(F182:F195)</f>
        <v>24895251</v>
      </c>
      <c r="G181" s="34">
        <f t="shared" ref="G181:H181" si="61">SUM(G182:G195)</f>
        <v>106444833.20999999</v>
      </c>
      <c r="H181" s="34">
        <f t="shared" si="61"/>
        <v>104810542.5</v>
      </c>
      <c r="I181" s="34">
        <f t="shared" si="41"/>
        <v>62738043.049999997</v>
      </c>
      <c r="J181" s="71">
        <f>SUM(J182:J195)</f>
        <v>5889749.71</v>
      </c>
      <c r="K181" s="71">
        <f t="shared" ref="K181" si="62">SUM(K182:K195)</f>
        <v>56848293.339999996</v>
      </c>
      <c r="L181" s="71">
        <f t="shared" ref="L181" si="63">SUM(L182:L195)</f>
        <v>55214002.629999995</v>
      </c>
      <c r="M181" s="24">
        <f t="shared" si="42"/>
        <v>0.47767628159646969</v>
      </c>
      <c r="N181" s="24">
        <f t="shared" si="43"/>
        <v>0.23658125439265504</v>
      </c>
      <c r="O181" s="57">
        <f t="shared" si="47"/>
        <v>0.53406343573150872</v>
      </c>
      <c r="P181" s="57">
        <f t="shared" si="54"/>
        <v>0.52679817614721336</v>
      </c>
    </row>
    <row r="182" spans="1:16" s="15" customFormat="1" ht="93.75" x14ac:dyDescent="0.25">
      <c r="A182" s="41">
        <v>1510150</v>
      </c>
      <c r="B182" s="41" t="s">
        <v>49</v>
      </c>
      <c r="C182" s="41" t="s">
        <v>2</v>
      </c>
      <c r="D182" s="36" t="s">
        <v>220</v>
      </c>
      <c r="E182" s="37">
        <f t="shared" si="40"/>
        <v>541176</v>
      </c>
      <c r="F182" s="37">
        <v>541176</v>
      </c>
      <c r="G182" s="37"/>
      <c r="H182" s="37"/>
      <c r="I182" s="37">
        <f t="shared" si="41"/>
        <v>478997.13</v>
      </c>
      <c r="J182" s="72">
        <v>478997.13</v>
      </c>
      <c r="K182" s="72"/>
      <c r="L182" s="72"/>
      <c r="M182" s="25">
        <f t="shared" si="42"/>
        <v>0.88510416204709741</v>
      </c>
      <c r="N182" s="25">
        <f t="shared" si="43"/>
        <v>0.88510416204709741</v>
      </c>
      <c r="O182" s="58"/>
      <c r="P182" s="58"/>
    </row>
    <row r="183" spans="1:16" s="15" customFormat="1" ht="56.25" x14ac:dyDescent="0.25">
      <c r="A183" s="35" t="s">
        <v>87</v>
      </c>
      <c r="B183" s="35" t="s">
        <v>53</v>
      </c>
      <c r="C183" s="35" t="s">
        <v>2</v>
      </c>
      <c r="D183" s="36" t="s">
        <v>235</v>
      </c>
      <c r="E183" s="37">
        <f t="shared" si="40"/>
        <v>7164900</v>
      </c>
      <c r="F183" s="37">
        <v>7164900</v>
      </c>
      <c r="G183" s="37">
        <v>0</v>
      </c>
      <c r="H183" s="37">
        <v>0</v>
      </c>
      <c r="I183" s="37">
        <f t="shared" si="41"/>
        <v>4692552.63</v>
      </c>
      <c r="J183" s="72">
        <v>4692552.63</v>
      </c>
      <c r="K183" s="72"/>
      <c r="L183" s="72"/>
      <c r="M183" s="25">
        <f t="shared" si="42"/>
        <v>0.65493623497885523</v>
      </c>
      <c r="N183" s="25">
        <f t="shared" si="43"/>
        <v>0.65493623497885523</v>
      </c>
      <c r="O183" s="58"/>
      <c r="P183" s="58"/>
    </row>
    <row r="184" spans="1:16" s="15" customFormat="1" ht="56.25" x14ac:dyDescent="0.25">
      <c r="A184" s="35">
        <v>1510170</v>
      </c>
      <c r="B184" s="35" t="s">
        <v>102</v>
      </c>
      <c r="C184" s="35" t="s">
        <v>103</v>
      </c>
      <c r="D184" s="36" t="s">
        <v>104</v>
      </c>
      <c r="E184" s="37">
        <f t="shared" si="40"/>
        <v>15000</v>
      </c>
      <c r="F184" s="37">
        <v>15000</v>
      </c>
      <c r="G184" s="37">
        <v>0</v>
      </c>
      <c r="H184" s="37">
        <v>0</v>
      </c>
      <c r="I184" s="37">
        <f t="shared" si="41"/>
        <v>0</v>
      </c>
      <c r="J184" s="72"/>
      <c r="K184" s="72"/>
      <c r="L184" s="72"/>
      <c r="M184" s="25">
        <f t="shared" si="42"/>
        <v>0</v>
      </c>
      <c r="N184" s="25">
        <f t="shared" si="43"/>
        <v>0</v>
      </c>
      <c r="O184" s="58"/>
      <c r="P184" s="58"/>
    </row>
    <row r="185" spans="1:16" s="15" customFormat="1" ht="37.5" x14ac:dyDescent="0.25">
      <c r="A185" s="35">
        <v>1510180</v>
      </c>
      <c r="B185" s="35" t="s">
        <v>9</v>
      </c>
      <c r="C185" s="35" t="s">
        <v>5</v>
      </c>
      <c r="D185" s="36" t="s">
        <v>98</v>
      </c>
      <c r="E185" s="37">
        <f t="shared" si="40"/>
        <v>100000</v>
      </c>
      <c r="F185" s="37">
        <v>100000</v>
      </c>
      <c r="G185" s="37">
        <v>0</v>
      </c>
      <c r="H185" s="37">
        <v>0</v>
      </c>
      <c r="I185" s="37">
        <f t="shared" si="41"/>
        <v>2662.4</v>
      </c>
      <c r="J185" s="72">
        <v>2662.4</v>
      </c>
      <c r="K185" s="72"/>
      <c r="L185" s="72"/>
      <c r="M185" s="25">
        <f t="shared" si="42"/>
        <v>2.6624000000000002E-2</v>
      </c>
      <c r="N185" s="25">
        <f t="shared" si="43"/>
        <v>2.6624000000000002E-2</v>
      </c>
      <c r="O185" s="58"/>
      <c r="P185" s="58"/>
    </row>
    <row r="186" spans="1:16" s="16" customFormat="1" ht="75" x14ac:dyDescent="0.25">
      <c r="A186" s="35">
        <v>1511300</v>
      </c>
      <c r="B186" s="35">
        <v>1300</v>
      </c>
      <c r="C186" s="41" t="s">
        <v>18</v>
      </c>
      <c r="D186" s="36" t="s">
        <v>376</v>
      </c>
      <c r="E186" s="37">
        <f t="shared" si="40"/>
        <v>67371232.5</v>
      </c>
      <c r="F186" s="37">
        <v>0</v>
      </c>
      <c r="G186" s="37">
        <v>67371232.5</v>
      </c>
      <c r="H186" s="37">
        <v>67371232.5</v>
      </c>
      <c r="I186" s="37">
        <f t="shared" si="41"/>
        <v>29953376.829999998</v>
      </c>
      <c r="J186" s="72"/>
      <c r="K186" s="72">
        <v>29953376.829999998</v>
      </c>
      <c r="L186" s="72">
        <v>29953376.829999998</v>
      </c>
      <c r="M186" s="25">
        <f t="shared" si="42"/>
        <v>0.4446018830069644</v>
      </c>
      <c r="N186" s="25"/>
      <c r="O186" s="58">
        <f t="shared" si="47"/>
        <v>0.4446018830069644</v>
      </c>
      <c r="P186" s="58">
        <f t="shared" si="54"/>
        <v>0.4446018830069644</v>
      </c>
    </row>
    <row r="187" spans="1:16" s="16" customFormat="1" ht="93.75" x14ac:dyDescent="0.25">
      <c r="A187" s="35">
        <v>1512171</v>
      </c>
      <c r="B187" s="35">
        <v>2171</v>
      </c>
      <c r="C187" s="41" t="s">
        <v>119</v>
      </c>
      <c r="D187" s="36" t="s">
        <v>347</v>
      </c>
      <c r="E187" s="37">
        <f t="shared" si="40"/>
        <v>7050730</v>
      </c>
      <c r="F187" s="37">
        <v>2050730</v>
      </c>
      <c r="G187" s="37">
        <v>5000000</v>
      </c>
      <c r="H187" s="37">
        <v>5000000</v>
      </c>
      <c r="I187" s="37">
        <f t="shared" si="41"/>
        <v>212334.26</v>
      </c>
      <c r="J187" s="72">
        <v>212334.26</v>
      </c>
      <c r="K187" s="72"/>
      <c r="L187" s="72"/>
      <c r="M187" s="25">
        <f t="shared" si="42"/>
        <v>3.0115216438581539E-2</v>
      </c>
      <c r="N187" s="25">
        <f t="shared" si="43"/>
        <v>0.10354081717242153</v>
      </c>
      <c r="O187" s="58">
        <f t="shared" si="47"/>
        <v>0</v>
      </c>
      <c r="P187" s="58">
        <f t="shared" si="54"/>
        <v>0</v>
      </c>
    </row>
    <row r="188" spans="1:16" s="16" customFormat="1" ht="56.25" x14ac:dyDescent="0.25">
      <c r="A188" s="35">
        <v>1516012</v>
      </c>
      <c r="B188" s="35">
        <v>6012</v>
      </c>
      <c r="C188" s="41" t="s">
        <v>8</v>
      </c>
      <c r="D188" s="36" t="s">
        <v>411</v>
      </c>
      <c r="E188" s="37">
        <f t="shared" si="40"/>
        <v>5280000</v>
      </c>
      <c r="F188" s="37">
        <v>5280000</v>
      </c>
      <c r="G188" s="37"/>
      <c r="H188" s="37"/>
      <c r="I188" s="37">
        <f t="shared" si="41"/>
        <v>0</v>
      </c>
      <c r="J188" s="72"/>
      <c r="K188" s="72"/>
      <c r="L188" s="72"/>
      <c r="M188" s="25">
        <f t="shared" si="42"/>
        <v>0</v>
      </c>
      <c r="N188" s="25">
        <f t="shared" si="43"/>
        <v>0</v>
      </c>
      <c r="O188" s="58"/>
      <c r="P188" s="58"/>
    </row>
    <row r="189" spans="1:16" s="16" customFormat="1" ht="37.5" x14ac:dyDescent="0.25">
      <c r="A189" s="35">
        <v>1516015</v>
      </c>
      <c r="B189" s="35">
        <v>6015</v>
      </c>
      <c r="C189" s="41" t="s">
        <v>8</v>
      </c>
      <c r="D189" s="36" t="s">
        <v>115</v>
      </c>
      <c r="E189" s="37">
        <f t="shared" si="40"/>
        <v>402000</v>
      </c>
      <c r="F189" s="37">
        <v>402000</v>
      </c>
      <c r="G189" s="37"/>
      <c r="H189" s="37"/>
      <c r="I189" s="37">
        <f t="shared" si="41"/>
        <v>402000</v>
      </c>
      <c r="J189" s="72">
        <v>402000</v>
      </c>
      <c r="K189" s="72"/>
      <c r="L189" s="72"/>
      <c r="M189" s="25">
        <f t="shared" si="42"/>
        <v>1</v>
      </c>
      <c r="N189" s="25">
        <f t="shared" si="43"/>
        <v>1</v>
      </c>
      <c r="O189" s="58"/>
      <c r="P189" s="58"/>
    </row>
    <row r="190" spans="1:16" s="16" customFormat="1" ht="93.75" x14ac:dyDescent="0.25">
      <c r="A190" s="35">
        <v>1516091</v>
      </c>
      <c r="B190" s="35">
        <v>6091</v>
      </c>
      <c r="C190" s="41" t="s">
        <v>340</v>
      </c>
      <c r="D190" s="36" t="s">
        <v>402</v>
      </c>
      <c r="E190" s="37">
        <f t="shared" si="40"/>
        <v>32054310</v>
      </c>
      <c r="F190" s="37">
        <v>0</v>
      </c>
      <c r="G190" s="37">
        <v>32054310</v>
      </c>
      <c r="H190" s="37">
        <v>32054310</v>
      </c>
      <c r="I190" s="37">
        <f t="shared" si="41"/>
        <v>25260625.800000001</v>
      </c>
      <c r="J190" s="72"/>
      <c r="K190" s="72">
        <f>7000000+18260625.8</f>
        <v>25260625.800000001</v>
      </c>
      <c r="L190" s="72">
        <f>7000000+18260625.8</f>
        <v>25260625.800000001</v>
      </c>
      <c r="M190" s="25">
        <f t="shared" si="42"/>
        <v>0.78805707563195093</v>
      </c>
      <c r="N190" s="25"/>
      <c r="O190" s="58">
        <f t="shared" si="47"/>
        <v>0.78805707563195093</v>
      </c>
      <c r="P190" s="58">
        <f t="shared" si="54"/>
        <v>0.78805707563195093</v>
      </c>
    </row>
    <row r="191" spans="1:16" s="16" customFormat="1" ht="93.75" x14ac:dyDescent="0.25">
      <c r="A191" s="35">
        <v>1517330</v>
      </c>
      <c r="B191" s="35">
        <v>7330</v>
      </c>
      <c r="C191" s="41" t="s">
        <v>21</v>
      </c>
      <c r="D191" s="36" t="s">
        <v>429</v>
      </c>
      <c r="E191" s="37">
        <f t="shared" si="40"/>
        <v>385000</v>
      </c>
      <c r="F191" s="37">
        <v>0</v>
      </c>
      <c r="G191" s="37">
        <v>385000</v>
      </c>
      <c r="H191" s="37">
        <v>385000</v>
      </c>
      <c r="I191" s="37">
        <f t="shared" si="41"/>
        <v>0</v>
      </c>
      <c r="J191" s="72"/>
      <c r="K191" s="72"/>
      <c r="L191" s="72"/>
      <c r="M191" s="25">
        <f t="shared" si="42"/>
        <v>0</v>
      </c>
      <c r="N191" s="25"/>
      <c r="O191" s="58">
        <f t="shared" si="47"/>
        <v>0</v>
      </c>
      <c r="P191" s="58">
        <f t="shared" si="54"/>
        <v>0</v>
      </c>
    </row>
    <row r="192" spans="1:16" s="16" customFormat="1" ht="37.5" x14ac:dyDescent="0.25">
      <c r="A192" s="35">
        <v>1517370</v>
      </c>
      <c r="B192" s="35">
        <v>7370</v>
      </c>
      <c r="C192" s="41" t="s">
        <v>21</v>
      </c>
      <c r="D192" s="36" t="s">
        <v>412</v>
      </c>
      <c r="E192" s="37">
        <f t="shared" si="40"/>
        <v>8972445</v>
      </c>
      <c r="F192" s="37">
        <v>8972445</v>
      </c>
      <c r="G192" s="37"/>
      <c r="H192" s="37"/>
      <c r="I192" s="37">
        <f t="shared" si="41"/>
        <v>0</v>
      </c>
      <c r="J192" s="72"/>
      <c r="K192" s="72"/>
      <c r="L192" s="72"/>
      <c r="M192" s="25">
        <f t="shared" si="42"/>
        <v>0</v>
      </c>
      <c r="N192" s="25">
        <f t="shared" si="43"/>
        <v>0</v>
      </c>
      <c r="O192" s="58"/>
      <c r="P192" s="58"/>
    </row>
    <row r="193" spans="1:16" s="16" customFormat="1" ht="37.5" x14ac:dyDescent="0.25">
      <c r="A193" s="41" t="s">
        <v>348</v>
      </c>
      <c r="B193" s="41" t="s">
        <v>300</v>
      </c>
      <c r="C193" s="41" t="s">
        <v>301</v>
      </c>
      <c r="D193" s="36" t="s">
        <v>302</v>
      </c>
      <c r="E193" s="37">
        <f t="shared" si="40"/>
        <v>84000</v>
      </c>
      <c r="F193" s="37">
        <v>84000</v>
      </c>
      <c r="G193" s="37">
        <v>0</v>
      </c>
      <c r="H193" s="37"/>
      <c r="I193" s="37">
        <f t="shared" si="41"/>
        <v>21494</v>
      </c>
      <c r="J193" s="72">
        <v>21494</v>
      </c>
      <c r="K193" s="72"/>
      <c r="L193" s="72"/>
      <c r="M193" s="25">
        <f t="shared" si="42"/>
        <v>0.25588095238095238</v>
      </c>
      <c r="N193" s="25">
        <f t="shared" si="43"/>
        <v>0.25588095238095238</v>
      </c>
      <c r="O193" s="58"/>
      <c r="P193" s="58"/>
    </row>
    <row r="194" spans="1:16" s="16" customFormat="1" ht="168.75" x14ac:dyDescent="0.25">
      <c r="A194" s="41" t="s">
        <v>405</v>
      </c>
      <c r="B194" s="41" t="s">
        <v>343</v>
      </c>
      <c r="C194" s="41" t="s">
        <v>21</v>
      </c>
      <c r="D194" s="36" t="s">
        <v>145</v>
      </c>
      <c r="E194" s="37">
        <f t="shared" si="40"/>
        <v>1634290.71</v>
      </c>
      <c r="F194" s="37">
        <v>0</v>
      </c>
      <c r="G194" s="37">
        <v>1634290.71</v>
      </c>
      <c r="H194" s="37"/>
      <c r="I194" s="37">
        <f t="shared" si="41"/>
        <v>1634290.71</v>
      </c>
      <c r="J194" s="72"/>
      <c r="K194" s="72">
        <v>1634290.71</v>
      </c>
      <c r="L194" s="72"/>
      <c r="M194" s="25">
        <f t="shared" si="42"/>
        <v>1</v>
      </c>
      <c r="N194" s="25"/>
      <c r="O194" s="58">
        <f t="shared" si="47"/>
        <v>1</v>
      </c>
      <c r="P194" s="58"/>
    </row>
    <row r="195" spans="1:16" s="16" customFormat="1" ht="56.25" x14ac:dyDescent="0.25">
      <c r="A195" s="35">
        <v>1518110</v>
      </c>
      <c r="B195" s="35" t="s">
        <v>346</v>
      </c>
      <c r="C195" s="35" t="s">
        <v>4</v>
      </c>
      <c r="D195" s="36" t="s">
        <v>127</v>
      </c>
      <c r="E195" s="37">
        <f t="shared" si="40"/>
        <v>285000</v>
      </c>
      <c r="F195" s="37">
        <v>285000</v>
      </c>
      <c r="G195" s="37">
        <v>0</v>
      </c>
      <c r="H195" s="37">
        <v>0</v>
      </c>
      <c r="I195" s="37">
        <f t="shared" si="41"/>
        <v>79709.289999999994</v>
      </c>
      <c r="J195" s="72">
        <v>79709.289999999994</v>
      </c>
      <c r="K195" s="72"/>
      <c r="L195" s="72"/>
      <c r="M195" s="25">
        <f t="shared" si="42"/>
        <v>0.27968171929824559</v>
      </c>
      <c r="N195" s="25">
        <f t="shared" si="43"/>
        <v>0.27968171929824559</v>
      </c>
      <c r="O195" s="58"/>
      <c r="P195" s="58"/>
    </row>
    <row r="196" spans="1:16" s="16" customFormat="1" ht="75" x14ac:dyDescent="0.25">
      <c r="A196" s="32" t="s">
        <v>88</v>
      </c>
      <c r="B196" s="32" t="s">
        <v>218</v>
      </c>
      <c r="C196" s="32" t="s">
        <v>218</v>
      </c>
      <c r="D196" s="33" t="s">
        <v>252</v>
      </c>
      <c r="E196" s="34">
        <f t="shared" si="40"/>
        <v>32429071</v>
      </c>
      <c r="F196" s="34">
        <f>F197</f>
        <v>32429071</v>
      </c>
      <c r="G196" s="34">
        <f t="shared" ref="G196:H196" si="64">G197</f>
        <v>0</v>
      </c>
      <c r="H196" s="34">
        <f t="shared" si="64"/>
        <v>0</v>
      </c>
      <c r="I196" s="34">
        <f t="shared" si="41"/>
        <v>21594601.52</v>
      </c>
      <c r="J196" s="71">
        <f>J197</f>
        <v>21594601.52</v>
      </c>
      <c r="K196" s="71">
        <f t="shared" ref="K196" si="65">K197</f>
        <v>0</v>
      </c>
      <c r="L196" s="71">
        <f t="shared" ref="L196" si="66">L197</f>
        <v>0</v>
      </c>
      <c r="M196" s="24">
        <f t="shared" si="42"/>
        <v>0.66590256378297119</v>
      </c>
      <c r="N196" s="24">
        <f t="shared" si="43"/>
        <v>0.66590256378297119</v>
      </c>
      <c r="O196" s="57"/>
      <c r="P196" s="57"/>
    </row>
    <row r="197" spans="1:16" s="16" customFormat="1" ht="75" x14ac:dyDescent="0.25">
      <c r="A197" s="32" t="s">
        <v>89</v>
      </c>
      <c r="B197" s="32" t="s">
        <v>218</v>
      </c>
      <c r="C197" s="32" t="s">
        <v>218</v>
      </c>
      <c r="D197" s="33" t="s">
        <v>252</v>
      </c>
      <c r="E197" s="34">
        <f t="shared" si="40"/>
        <v>32429071</v>
      </c>
      <c r="F197" s="34">
        <f>SUM(F198:F207)</f>
        <v>32429071</v>
      </c>
      <c r="G197" s="34">
        <f t="shared" ref="G197:H197" si="67">SUM(G198:G207)</f>
        <v>0</v>
      </c>
      <c r="H197" s="34">
        <f t="shared" si="67"/>
        <v>0</v>
      </c>
      <c r="I197" s="34">
        <f t="shared" si="41"/>
        <v>21594601.52</v>
      </c>
      <c r="J197" s="71">
        <f>SUM(J198:J207)</f>
        <v>21594601.52</v>
      </c>
      <c r="K197" s="71">
        <f t="shared" ref="K197" si="68">SUM(K198:K207)</f>
        <v>0</v>
      </c>
      <c r="L197" s="71">
        <f t="shared" ref="L197" si="69">SUM(L198:L207)</f>
        <v>0</v>
      </c>
      <c r="M197" s="24">
        <f t="shared" si="42"/>
        <v>0.66590256378297119</v>
      </c>
      <c r="N197" s="24">
        <f t="shared" si="43"/>
        <v>0.66590256378297119</v>
      </c>
      <c r="O197" s="57"/>
      <c r="P197" s="57"/>
    </row>
    <row r="198" spans="1:16" s="16" customFormat="1" ht="56.25" x14ac:dyDescent="0.25">
      <c r="A198" s="35" t="s">
        <v>90</v>
      </c>
      <c r="B198" s="35" t="s">
        <v>53</v>
      </c>
      <c r="C198" s="35" t="s">
        <v>2</v>
      </c>
      <c r="D198" s="36" t="s">
        <v>235</v>
      </c>
      <c r="E198" s="37">
        <f t="shared" si="40"/>
        <v>6006000</v>
      </c>
      <c r="F198" s="37">
        <v>6006000</v>
      </c>
      <c r="G198" s="37">
        <v>0</v>
      </c>
      <c r="H198" s="37">
        <v>0</v>
      </c>
      <c r="I198" s="37">
        <f t="shared" si="41"/>
        <v>3853733.72</v>
      </c>
      <c r="J198" s="72">
        <v>3853733.72</v>
      </c>
      <c r="K198" s="72"/>
      <c r="L198" s="72"/>
      <c r="M198" s="25">
        <f t="shared" si="42"/>
        <v>0.64164730602730602</v>
      </c>
      <c r="N198" s="25">
        <f t="shared" si="43"/>
        <v>0.64164730602730602</v>
      </c>
      <c r="O198" s="58"/>
      <c r="P198" s="58"/>
    </row>
    <row r="199" spans="1:16" s="2" customFormat="1" ht="56.25" x14ac:dyDescent="0.3">
      <c r="A199" s="35">
        <v>3110170</v>
      </c>
      <c r="B199" s="35" t="s">
        <v>102</v>
      </c>
      <c r="C199" s="35" t="s">
        <v>103</v>
      </c>
      <c r="D199" s="36" t="s">
        <v>104</v>
      </c>
      <c r="E199" s="37">
        <f t="shared" si="40"/>
        <v>4500</v>
      </c>
      <c r="F199" s="37">
        <v>4500</v>
      </c>
      <c r="G199" s="37">
        <v>0</v>
      </c>
      <c r="H199" s="37">
        <v>0</v>
      </c>
      <c r="I199" s="37">
        <f t="shared" si="41"/>
        <v>0</v>
      </c>
      <c r="J199" s="72"/>
      <c r="K199" s="72"/>
      <c r="L199" s="72"/>
      <c r="M199" s="25">
        <f t="shared" si="42"/>
        <v>0</v>
      </c>
      <c r="N199" s="25">
        <f t="shared" si="43"/>
        <v>0</v>
      </c>
      <c r="O199" s="58"/>
      <c r="P199" s="58"/>
    </row>
    <row r="200" spans="1:16" s="2" customFormat="1" ht="37.5" x14ac:dyDescent="0.3">
      <c r="A200" s="35" t="s">
        <v>97</v>
      </c>
      <c r="B200" s="35" t="s">
        <v>9</v>
      </c>
      <c r="C200" s="35" t="s">
        <v>5</v>
      </c>
      <c r="D200" s="36" t="s">
        <v>98</v>
      </c>
      <c r="E200" s="37">
        <f t="shared" si="40"/>
        <v>65000</v>
      </c>
      <c r="F200" s="37">
        <v>65000</v>
      </c>
      <c r="G200" s="37">
        <v>0</v>
      </c>
      <c r="H200" s="37">
        <v>0</v>
      </c>
      <c r="I200" s="37">
        <f t="shared" si="41"/>
        <v>17324.8</v>
      </c>
      <c r="J200" s="72">
        <v>17324.8</v>
      </c>
      <c r="K200" s="72"/>
      <c r="L200" s="72"/>
      <c r="M200" s="25">
        <f t="shared" si="42"/>
        <v>0.26653538461538462</v>
      </c>
      <c r="N200" s="25">
        <f t="shared" si="43"/>
        <v>0.26653538461538462</v>
      </c>
      <c r="O200" s="58"/>
      <c r="P200" s="58"/>
    </row>
    <row r="201" spans="1:16" ht="56.25" x14ac:dyDescent="0.25">
      <c r="A201" s="35" t="s">
        <v>173</v>
      </c>
      <c r="B201" s="35" t="s">
        <v>143</v>
      </c>
      <c r="C201" s="35" t="s">
        <v>8</v>
      </c>
      <c r="D201" s="36" t="s">
        <v>249</v>
      </c>
      <c r="E201" s="37">
        <f t="shared" si="40"/>
        <v>243200</v>
      </c>
      <c r="F201" s="37">
        <v>243200</v>
      </c>
      <c r="G201" s="37">
        <v>0</v>
      </c>
      <c r="H201" s="37">
        <v>0</v>
      </c>
      <c r="I201" s="37">
        <f t="shared" si="41"/>
        <v>174724.35</v>
      </c>
      <c r="J201" s="72">
        <v>174724.35</v>
      </c>
      <c r="K201" s="72"/>
      <c r="L201" s="72"/>
      <c r="M201" s="25">
        <f t="shared" si="42"/>
        <v>0.71843893914473689</v>
      </c>
      <c r="N201" s="25">
        <f t="shared" si="43"/>
        <v>0.71843893914473689</v>
      </c>
      <c r="O201" s="58"/>
      <c r="P201" s="58"/>
    </row>
    <row r="202" spans="1:16" ht="37.5" x14ac:dyDescent="0.25">
      <c r="A202" s="41" t="s">
        <v>349</v>
      </c>
      <c r="B202" s="35">
        <v>6090</v>
      </c>
      <c r="C202" s="41" t="s">
        <v>340</v>
      </c>
      <c r="D202" s="36" t="s">
        <v>350</v>
      </c>
      <c r="E202" s="37">
        <f t="shared" si="40"/>
        <v>1150000</v>
      </c>
      <c r="F202" s="37">
        <v>1150000</v>
      </c>
      <c r="G202" s="37">
        <v>0</v>
      </c>
      <c r="H202" s="37">
        <v>0</v>
      </c>
      <c r="I202" s="37">
        <f t="shared" si="41"/>
        <v>670600</v>
      </c>
      <c r="J202" s="72">
        <v>670600</v>
      </c>
      <c r="K202" s="72"/>
      <c r="L202" s="72"/>
      <c r="M202" s="25">
        <f t="shared" si="42"/>
        <v>0.58313043478260873</v>
      </c>
      <c r="N202" s="25">
        <f t="shared" si="43"/>
        <v>0.58313043478260873</v>
      </c>
      <c r="O202" s="58"/>
      <c r="P202" s="58"/>
    </row>
    <row r="203" spans="1:16" ht="18.75" x14ac:dyDescent="0.25">
      <c r="A203" s="35" t="s">
        <v>269</v>
      </c>
      <c r="B203" s="35" t="s">
        <v>270</v>
      </c>
      <c r="C203" s="35" t="s">
        <v>271</v>
      </c>
      <c r="D203" s="36" t="s">
        <v>272</v>
      </c>
      <c r="E203" s="37">
        <f t="shared" si="40"/>
        <v>1186000</v>
      </c>
      <c r="F203" s="37">
        <v>1186000</v>
      </c>
      <c r="G203" s="37">
        <v>0</v>
      </c>
      <c r="H203" s="37">
        <v>0</v>
      </c>
      <c r="I203" s="37">
        <f t="shared" si="41"/>
        <v>366891.8</v>
      </c>
      <c r="J203" s="72">
        <v>366891.8</v>
      </c>
      <c r="K203" s="72"/>
      <c r="L203" s="72"/>
      <c r="M203" s="25">
        <f t="shared" si="42"/>
        <v>0.30935227655986508</v>
      </c>
      <c r="N203" s="25">
        <f t="shared" si="43"/>
        <v>0.30935227655986508</v>
      </c>
      <c r="O203" s="58"/>
      <c r="P203" s="58"/>
    </row>
    <row r="204" spans="1:16" ht="37.5" x14ac:dyDescent="0.25">
      <c r="A204" s="41" t="s">
        <v>351</v>
      </c>
      <c r="B204" s="41" t="s">
        <v>300</v>
      </c>
      <c r="C204" s="41" t="s">
        <v>301</v>
      </c>
      <c r="D204" s="36" t="s">
        <v>302</v>
      </c>
      <c r="E204" s="37">
        <f t="shared" si="40"/>
        <v>23100</v>
      </c>
      <c r="F204" s="37">
        <v>23100</v>
      </c>
      <c r="G204" s="37">
        <v>0</v>
      </c>
      <c r="H204" s="37"/>
      <c r="I204" s="37">
        <f t="shared" si="41"/>
        <v>3800</v>
      </c>
      <c r="J204" s="72">
        <v>3800</v>
      </c>
      <c r="K204" s="72"/>
      <c r="L204" s="72"/>
      <c r="M204" s="25">
        <f t="shared" si="42"/>
        <v>0.16450216450216451</v>
      </c>
      <c r="N204" s="25">
        <f t="shared" si="43"/>
        <v>0.16450216450216451</v>
      </c>
      <c r="O204" s="58"/>
      <c r="P204" s="58"/>
    </row>
    <row r="205" spans="1:16" ht="37.5" x14ac:dyDescent="0.25">
      <c r="A205" s="35" t="s">
        <v>162</v>
      </c>
      <c r="B205" s="35" t="s">
        <v>126</v>
      </c>
      <c r="C205" s="35" t="s">
        <v>21</v>
      </c>
      <c r="D205" s="36" t="s">
        <v>250</v>
      </c>
      <c r="E205" s="37">
        <f t="shared" si="40"/>
        <v>23285271</v>
      </c>
      <c r="F205" s="37">
        <v>23285271</v>
      </c>
      <c r="G205" s="37">
        <v>0</v>
      </c>
      <c r="H205" s="37">
        <v>0</v>
      </c>
      <c r="I205" s="37">
        <f t="shared" si="41"/>
        <v>16266626.16</v>
      </c>
      <c r="J205" s="72">
        <f>3076698.74+13189927.42</f>
        <v>16266626.16</v>
      </c>
      <c r="K205" s="72"/>
      <c r="L205" s="72"/>
      <c r="M205" s="25">
        <f t="shared" si="42"/>
        <v>0.69858006634322611</v>
      </c>
      <c r="N205" s="25">
        <f t="shared" si="43"/>
        <v>0.69858006634322611</v>
      </c>
      <c r="O205" s="58"/>
      <c r="P205" s="58"/>
    </row>
    <row r="206" spans="1:16" ht="56.25" x14ac:dyDescent="0.25">
      <c r="A206" s="35">
        <v>3118110</v>
      </c>
      <c r="B206" s="35">
        <v>8110</v>
      </c>
      <c r="C206" s="35" t="s">
        <v>4</v>
      </c>
      <c r="D206" s="36" t="s">
        <v>127</v>
      </c>
      <c r="E206" s="37">
        <f t="shared" si="40"/>
        <v>300000</v>
      </c>
      <c r="F206" s="37">
        <v>300000</v>
      </c>
      <c r="G206" s="37">
        <v>0</v>
      </c>
      <c r="H206" s="37"/>
      <c r="I206" s="37">
        <f t="shared" si="41"/>
        <v>99622.5</v>
      </c>
      <c r="J206" s="72">
        <v>99622.5</v>
      </c>
      <c r="K206" s="72"/>
      <c r="L206" s="72"/>
      <c r="M206" s="25">
        <f t="shared" si="42"/>
        <v>0.33207500000000001</v>
      </c>
      <c r="N206" s="25">
        <f t="shared" si="43"/>
        <v>0.33207500000000001</v>
      </c>
      <c r="O206" s="58"/>
      <c r="P206" s="58"/>
    </row>
    <row r="207" spans="1:16" ht="18.75" x14ac:dyDescent="0.25">
      <c r="A207" s="35" t="s">
        <v>258</v>
      </c>
      <c r="B207" s="35" t="s">
        <v>233</v>
      </c>
      <c r="C207" s="35" t="s">
        <v>148</v>
      </c>
      <c r="D207" s="36" t="s">
        <v>234</v>
      </c>
      <c r="E207" s="37">
        <f t="shared" si="40"/>
        <v>166000</v>
      </c>
      <c r="F207" s="37">
        <v>166000</v>
      </c>
      <c r="G207" s="37">
        <v>0</v>
      </c>
      <c r="H207" s="37">
        <v>0</v>
      </c>
      <c r="I207" s="37">
        <f t="shared" si="41"/>
        <v>141278.19</v>
      </c>
      <c r="J207" s="72">
        <v>141278.19</v>
      </c>
      <c r="K207" s="72"/>
      <c r="L207" s="72"/>
      <c r="M207" s="25">
        <f t="shared" si="42"/>
        <v>0.85107343373493982</v>
      </c>
      <c r="N207" s="25">
        <f t="shared" si="43"/>
        <v>0.85107343373493982</v>
      </c>
      <c r="O207" s="58"/>
      <c r="P207" s="58"/>
    </row>
    <row r="208" spans="1:16" ht="56.25" x14ac:dyDescent="0.25">
      <c r="A208" s="32" t="s">
        <v>91</v>
      </c>
      <c r="B208" s="32" t="s">
        <v>218</v>
      </c>
      <c r="C208" s="32" t="s">
        <v>218</v>
      </c>
      <c r="D208" s="33" t="s">
        <v>253</v>
      </c>
      <c r="E208" s="34">
        <f t="shared" ref="E208:E229" si="70">F208+G208</f>
        <v>171601020</v>
      </c>
      <c r="F208" s="34">
        <f>F209</f>
        <v>169921020</v>
      </c>
      <c r="G208" s="34">
        <f t="shared" ref="G208:H208" si="71">G209</f>
        <v>1680000</v>
      </c>
      <c r="H208" s="34">
        <f t="shared" si="71"/>
        <v>1680000</v>
      </c>
      <c r="I208" s="34">
        <f t="shared" ref="I208:I229" si="72">J208+K208</f>
        <v>129464319.59</v>
      </c>
      <c r="J208" s="71">
        <f>J209</f>
        <v>127784319.59</v>
      </c>
      <c r="K208" s="71">
        <f t="shared" ref="K208" si="73">K209</f>
        <v>1680000</v>
      </c>
      <c r="L208" s="71">
        <f t="shared" ref="L208" si="74">L209</f>
        <v>1680000</v>
      </c>
      <c r="M208" s="24">
        <f t="shared" ref="M208:M229" si="75">I208/E208</f>
        <v>0.75444959237421783</v>
      </c>
      <c r="N208" s="24">
        <f t="shared" ref="N208:N229" si="76">J208/F208</f>
        <v>0.75202184868005151</v>
      </c>
      <c r="O208" s="57">
        <f t="shared" ref="O208:O229" si="77">K208/G208</f>
        <v>1</v>
      </c>
      <c r="P208" s="57">
        <f t="shared" ref="P208:P229" si="78">L208/H208</f>
        <v>1</v>
      </c>
    </row>
    <row r="209" spans="1:16" ht="56.25" x14ac:dyDescent="0.25">
      <c r="A209" s="32" t="s">
        <v>92</v>
      </c>
      <c r="B209" s="32" t="s">
        <v>218</v>
      </c>
      <c r="C209" s="32" t="s">
        <v>218</v>
      </c>
      <c r="D209" s="33" t="s">
        <v>253</v>
      </c>
      <c r="E209" s="34">
        <f t="shared" si="70"/>
        <v>171601020</v>
      </c>
      <c r="F209" s="34">
        <f>SUM(F210:F216)</f>
        <v>169921020</v>
      </c>
      <c r="G209" s="34">
        <f t="shared" ref="G209:H209" si="79">SUM(G210:G216)</f>
        <v>1680000</v>
      </c>
      <c r="H209" s="34">
        <f t="shared" si="79"/>
        <v>1680000</v>
      </c>
      <c r="I209" s="34">
        <f t="shared" si="72"/>
        <v>129464319.59</v>
      </c>
      <c r="J209" s="71">
        <f>SUM(J210:J216)</f>
        <v>127784319.59</v>
      </c>
      <c r="K209" s="71">
        <f t="shared" ref="K209" si="80">SUM(K210:K216)</f>
        <v>1680000</v>
      </c>
      <c r="L209" s="71">
        <f t="shared" ref="L209" si="81">SUM(L210:L216)</f>
        <v>1680000</v>
      </c>
      <c r="M209" s="24">
        <f t="shared" si="75"/>
        <v>0.75444959237421783</v>
      </c>
      <c r="N209" s="24">
        <f t="shared" si="76"/>
        <v>0.75202184868005151</v>
      </c>
      <c r="O209" s="57">
        <f t="shared" si="77"/>
        <v>1</v>
      </c>
      <c r="P209" s="57">
        <f t="shared" si="78"/>
        <v>1</v>
      </c>
    </row>
    <row r="210" spans="1:16" ht="56.25" x14ac:dyDescent="0.25">
      <c r="A210" s="35" t="s">
        <v>93</v>
      </c>
      <c r="B210" s="35" t="s">
        <v>53</v>
      </c>
      <c r="C210" s="35" t="s">
        <v>2</v>
      </c>
      <c r="D210" s="36" t="s">
        <v>235</v>
      </c>
      <c r="E210" s="37">
        <f t="shared" si="70"/>
        <v>8517700</v>
      </c>
      <c r="F210" s="37">
        <v>8517700</v>
      </c>
      <c r="G210" s="37">
        <v>0</v>
      </c>
      <c r="H210" s="37"/>
      <c r="I210" s="37">
        <f t="shared" si="72"/>
        <v>6223880.8200000003</v>
      </c>
      <c r="J210" s="72">
        <v>6223880.8200000003</v>
      </c>
      <c r="K210" s="72"/>
      <c r="L210" s="72"/>
      <c r="M210" s="25">
        <f t="shared" si="75"/>
        <v>0.73069969827535608</v>
      </c>
      <c r="N210" s="25">
        <f t="shared" si="76"/>
        <v>0.73069969827535608</v>
      </c>
      <c r="O210" s="58"/>
      <c r="P210" s="58"/>
    </row>
    <row r="211" spans="1:16" ht="37.5" x14ac:dyDescent="0.25">
      <c r="A211" s="41" t="s">
        <v>352</v>
      </c>
      <c r="B211" s="41" t="s">
        <v>300</v>
      </c>
      <c r="C211" s="41" t="s">
        <v>301</v>
      </c>
      <c r="D211" s="36" t="s">
        <v>302</v>
      </c>
      <c r="E211" s="37">
        <f t="shared" si="70"/>
        <v>169100</v>
      </c>
      <c r="F211" s="37">
        <v>169100</v>
      </c>
      <c r="G211" s="37">
        <v>0</v>
      </c>
      <c r="H211" s="37">
        <v>0</v>
      </c>
      <c r="I211" s="37">
        <f t="shared" si="72"/>
        <v>135147.79999999999</v>
      </c>
      <c r="J211" s="72">
        <v>135147.79999999999</v>
      </c>
      <c r="K211" s="72"/>
      <c r="L211" s="72"/>
      <c r="M211" s="25">
        <f t="shared" si="75"/>
        <v>0.7992182140745121</v>
      </c>
      <c r="N211" s="25">
        <f t="shared" si="76"/>
        <v>0.7992182140745121</v>
      </c>
      <c r="O211" s="58"/>
      <c r="P211" s="58"/>
    </row>
    <row r="212" spans="1:16" ht="18.75" x14ac:dyDescent="0.25">
      <c r="A212" s="35" t="s">
        <v>197</v>
      </c>
      <c r="B212" s="35" t="s">
        <v>198</v>
      </c>
      <c r="C212" s="35" t="s">
        <v>5</v>
      </c>
      <c r="D212" s="36" t="s">
        <v>254</v>
      </c>
      <c r="E212" s="37">
        <f t="shared" si="70"/>
        <v>4886008</v>
      </c>
      <c r="F212" s="37">
        <v>4886008</v>
      </c>
      <c r="G212" s="37">
        <v>0</v>
      </c>
      <c r="H212" s="37">
        <v>0</v>
      </c>
      <c r="I212" s="37">
        <f t="shared" si="72"/>
        <v>0</v>
      </c>
      <c r="J212" s="72"/>
      <c r="K212" s="72"/>
      <c r="L212" s="72"/>
      <c r="M212" s="25">
        <f t="shared" si="75"/>
        <v>0</v>
      </c>
      <c r="N212" s="25">
        <f t="shared" si="76"/>
        <v>0</v>
      </c>
      <c r="O212" s="58"/>
      <c r="P212" s="58"/>
    </row>
    <row r="213" spans="1:16" ht="18.75" x14ac:dyDescent="0.25">
      <c r="A213" s="35">
        <v>3719110</v>
      </c>
      <c r="B213" s="35">
        <v>9110</v>
      </c>
      <c r="C213" s="41" t="s">
        <v>9</v>
      </c>
      <c r="D213" s="36" t="s">
        <v>353</v>
      </c>
      <c r="E213" s="37">
        <f t="shared" si="70"/>
        <v>79482900</v>
      </c>
      <c r="F213" s="37">
        <v>79482900</v>
      </c>
      <c r="G213" s="37">
        <v>0</v>
      </c>
      <c r="H213" s="37"/>
      <c r="I213" s="37">
        <f t="shared" si="72"/>
        <v>59612400</v>
      </c>
      <c r="J213" s="72">
        <v>59612400</v>
      </c>
      <c r="K213" s="72"/>
      <c r="L213" s="72"/>
      <c r="M213" s="25">
        <f t="shared" si="75"/>
        <v>0.7500028307975678</v>
      </c>
      <c r="N213" s="25">
        <f t="shared" si="76"/>
        <v>0.7500028307975678</v>
      </c>
      <c r="O213" s="58"/>
      <c r="P213" s="58"/>
    </row>
    <row r="214" spans="1:16" ht="75" x14ac:dyDescent="0.25">
      <c r="A214" s="35">
        <v>3719720</v>
      </c>
      <c r="B214" s="35">
        <v>9720</v>
      </c>
      <c r="C214" s="41" t="s">
        <v>9</v>
      </c>
      <c r="D214" s="36" t="s">
        <v>413</v>
      </c>
      <c r="E214" s="37">
        <f t="shared" si="70"/>
        <v>1680000</v>
      </c>
      <c r="F214" s="37">
        <v>0</v>
      </c>
      <c r="G214" s="37">
        <v>1680000</v>
      </c>
      <c r="H214" s="37">
        <v>1680000</v>
      </c>
      <c r="I214" s="37">
        <f t="shared" si="72"/>
        <v>1680000</v>
      </c>
      <c r="J214" s="72"/>
      <c r="K214" s="72">
        <v>1680000</v>
      </c>
      <c r="L214" s="72">
        <v>1680000</v>
      </c>
      <c r="M214" s="25">
        <f t="shared" si="75"/>
        <v>1</v>
      </c>
      <c r="N214" s="25"/>
      <c r="O214" s="58">
        <f t="shared" si="77"/>
        <v>1</v>
      </c>
      <c r="P214" s="58">
        <f t="shared" si="78"/>
        <v>1</v>
      </c>
    </row>
    <row r="215" spans="1:16" ht="18.75" x14ac:dyDescent="0.25">
      <c r="A215" s="35" t="s">
        <v>354</v>
      </c>
      <c r="B215" s="35" t="s">
        <v>355</v>
      </c>
      <c r="C215" s="35" t="s">
        <v>9</v>
      </c>
      <c r="D215" s="36" t="s">
        <v>146</v>
      </c>
      <c r="E215" s="37">
        <f t="shared" si="70"/>
        <v>11302800</v>
      </c>
      <c r="F215" s="37">
        <v>11302800</v>
      </c>
      <c r="G215" s="37"/>
      <c r="H215" s="37"/>
      <c r="I215" s="37">
        <f t="shared" si="72"/>
        <v>10728100</v>
      </c>
      <c r="J215" s="72">
        <v>10728100</v>
      </c>
      <c r="K215" s="72"/>
      <c r="L215" s="72"/>
      <c r="M215" s="25">
        <f t="shared" si="75"/>
        <v>0.94915419188165762</v>
      </c>
      <c r="N215" s="25">
        <f t="shared" si="76"/>
        <v>0.94915419188165762</v>
      </c>
      <c r="O215" s="58"/>
      <c r="P215" s="58"/>
    </row>
    <row r="216" spans="1:16" s="2" customFormat="1" ht="75" x14ac:dyDescent="0.3">
      <c r="A216" s="35">
        <v>3719800</v>
      </c>
      <c r="B216" s="35">
        <v>9800</v>
      </c>
      <c r="C216" s="41" t="s">
        <v>9</v>
      </c>
      <c r="D216" s="43" t="s">
        <v>217</v>
      </c>
      <c r="E216" s="37">
        <f t="shared" si="70"/>
        <v>65562512</v>
      </c>
      <c r="F216" s="37">
        <v>65562512</v>
      </c>
      <c r="G216" s="37"/>
      <c r="H216" s="37"/>
      <c r="I216" s="37">
        <f t="shared" si="72"/>
        <v>51084790.969999999</v>
      </c>
      <c r="J216" s="72">
        <v>51084790.969999999</v>
      </c>
      <c r="K216" s="72"/>
      <c r="L216" s="72"/>
      <c r="M216" s="25">
        <f t="shared" si="75"/>
        <v>0.77917684072263738</v>
      </c>
      <c r="N216" s="25">
        <f t="shared" si="76"/>
        <v>0.77917684072263738</v>
      </c>
      <c r="O216" s="58"/>
      <c r="P216" s="58"/>
    </row>
    <row r="217" spans="1:16" ht="18.75" x14ac:dyDescent="0.25">
      <c r="A217" s="32" t="s">
        <v>255</v>
      </c>
      <c r="B217" s="32" t="s">
        <v>255</v>
      </c>
      <c r="C217" s="32" t="s">
        <v>255</v>
      </c>
      <c r="D217" s="44" t="s">
        <v>256</v>
      </c>
      <c r="E217" s="34">
        <f t="shared" si="70"/>
        <v>1791170318.8299999</v>
      </c>
      <c r="F217" s="34">
        <f>F15+F66+F97+F126+F132+F146+F158+F180+F196+F208</f>
        <v>1640636427</v>
      </c>
      <c r="G217" s="34">
        <f t="shared" ref="G217:H217" si="82">G15+G66+G97+G126+G132+G146+G158+G180+G196+G208</f>
        <v>150533891.82999998</v>
      </c>
      <c r="H217" s="34">
        <f t="shared" si="82"/>
        <v>117230563.5</v>
      </c>
      <c r="I217" s="34">
        <f t="shared" si="72"/>
        <v>1208409487.6599998</v>
      </c>
      <c r="J217" s="71">
        <f>J15+J66+J97+J126+J132+J146+J158+J180+J196+J208</f>
        <v>1107325294.8599999</v>
      </c>
      <c r="K217" s="71">
        <f t="shared" ref="K217:L217" si="83">K15+K66+K97+K126+K132+K146+K158+K180+K196+K208</f>
        <v>101084192.79999998</v>
      </c>
      <c r="L217" s="71">
        <f t="shared" si="83"/>
        <v>62658792.229999997</v>
      </c>
      <c r="M217" s="24">
        <f t="shared" si="75"/>
        <v>0.67464800804054081</v>
      </c>
      <c r="N217" s="24">
        <f t="shared" si="76"/>
        <v>0.6749364311536159</v>
      </c>
      <c r="O217" s="57">
        <f t="shared" si="77"/>
        <v>0.671504546724639</v>
      </c>
      <c r="P217" s="57">
        <f t="shared" si="78"/>
        <v>0.53449194782724041</v>
      </c>
    </row>
    <row r="218" spans="1:16" ht="18.75" x14ac:dyDescent="0.25">
      <c r="A218" s="45"/>
      <c r="B218" s="45"/>
      <c r="C218" s="45"/>
      <c r="D218" s="46"/>
      <c r="E218" s="34">
        <f t="shared" si="70"/>
        <v>0</v>
      </c>
      <c r="F218" s="63"/>
      <c r="G218" s="63"/>
      <c r="H218" s="63"/>
      <c r="I218" s="34">
        <f t="shared" si="72"/>
        <v>0</v>
      </c>
      <c r="J218" s="75"/>
      <c r="K218" s="75"/>
      <c r="L218" s="75"/>
      <c r="M218" s="24"/>
      <c r="N218" s="24"/>
      <c r="O218" s="57"/>
      <c r="P218" s="57"/>
    </row>
    <row r="219" spans="1:16" ht="37.5" x14ac:dyDescent="0.3">
      <c r="A219" s="30"/>
      <c r="B219" s="30"/>
      <c r="C219" s="31" t="s">
        <v>203</v>
      </c>
      <c r="D219" s="47" t="s">
        <v>204</v>
      </c>
      <c r="E219" s="37">
        <f t="shared" si="70"/>
        <v>184104397.34999999</v>
      </c>
      <c r="F219" s="48">
        <f t="shared" ref="F219:H219" si="84">F17+F22+F23+F68+F69+F99+F100+F101+F128+F129+F134+F135+F148+F149+F160+F161+F182+F183+F184+F185+F198+F199+F200+F210</f>
        <v>183984397.34999999</v>
      </c>
      <c r="G219" s="48">
        <f t="shared" si="84"/>
        <v>120000</v>
      </c>
      <c r="H219" s="48">
        <f t="shared" si="84"/>
        <v>0</v>
      </c>
      <c r="I219" s="37">
        <f t="shared" si="72"/>
        <v>144922014.16999999</v>
      </c>
      <c r="J219" s="76">
        <f t="shared" ref="J219:L219" si="85">J17+J22+J23+J68+J69+J99+J100+J101+J128+J129+J134+J135+J148+J149+J160+J161+J182+J183+J184+J185+J198+J199+J200+J210</f>
        <v>121705463.60999998</v>
      </c>
      <c r="K219" s="76">
        <f t="shared" si="85"/>
        <v>23216550.559999999</v>
      </c>
      <c r="L219" s="76">
        <f t="shared" si="85"/>
        <v>0</v>
      </c>
      <c r="M219" s="25">
        <f t="shared" si="75"/>
        <v>0.78717301843958365</v>
      </c>
      <c r="N219" s="25">
        <f t="shared" si="76"/>
        <v>0.66149883013435862</v>
      </c>
      <c r="O219" s="58" t="s">
        <v>433</v>
      </c>
      <c r="P219" s="58"/>
    </row>
    <row r="220" spans="1:16" ht="18.75" x14ac:dyDescent="0.3">
      <c r="A220" s="30"/>
      <c r="B220" s="30"/>
      <c r="C220" s="31" t="s">
        <v>205</v>
      </c>
      <c r="D220" s="47" t="s">
        <v>206</v>
      </c>
      <c r="E220" s="37">
        <f t="shared" si="70"/>
        <v>725176800.44999993</v>
      </c>
      <c r="F220" s="48">
        <f t="shared" ref="F220:H220" si="86">F70+F71+F72+F73+F77+F78+F79+F80+F81+F82+F83+F84+F85+F86+F87+F88+F89+F90+F91+F136+F186</f>
        <v>635517693.94999993</v>
      </c>
      <c r="G220" s="48">
        <f t="shared" si="86"/>
        <v>89659106.5</v>
      </c>
      <c r="H220" s="48">
        <f t="shared" si="86"/>
        <v>69657132.5</v>
      </c>
      <c r="I220" s="37">
        <f t="shared" si="72"/>
        <v>490754998.65999991</v>
      </c>
      <c r="J220" s="76">
        <f t="shared" ref="J220:L220" si="87">J70+J71+J72+J73+J77+J78+J79+J80+J81+J82+J83+J84+J85+J86+J87+J88+J89+J90+J91+J136+J186</f>
        <v>446006710.65999991</v>
      </c>
      <c r="K220" s="76">
        <f t="shared" si="87"/>
        <v>44748288</v>
      </c>
      <c r="L220" s="76">
        <f t="shared" si="87"/>
        <v>31959432.829999998</v>
      </c>
      <c r="M220" s="25">
        <f t="shared" si="75"/>
        <v>0.67673841517746802</v>
      </c>
      <c r="N220" s="25">
        <f t="shared" si="76"/>
        <v>0.70180061846569131</v>
      </c>
      <c r="O220" s="58">
        <f t="shared" si="77"/>
        <v>0.49909361967598909</v>
      </c>
      <c r="P220" s="58">
        <f t="shared" si="78"/>
        <v>0.45881062976573145</v>
      </c>
    </row>
    <row r="221" spans="1:16" s="2" customFormat="1" ht="18.75" x14ac:dyDescent="0.3">
      <c r="A221" s="30"/>
      <c r="B221" s="30"/>
      <c r="C221" s="31" t="s">
        <v>207</v>
      </c>
      <c r="D221" s="47" t="s">
        <v>208</v>
      </c>
      <c r="E221" s="37">
        <f t="shared" si="70"/>
        <v>82069070</v>
      </c>
      <c r="F221" s="48">
        <f t="shared" ref="F221:H221" si="88">F24+F25+F26+F27+F31+F187</f>
        <v>74736016</v>
      </c>
      <c r="G221" s="48">
        <f t="shared" si="88"/>
        <v>7333054</v>
      </c>
      <c r="H221" s="48">
        <f t="shared" si="88"/>
        <v>7333054</v>
      </c>
      <c r="I221" s="37">
        <f t="shared" si="72"/>
        <v>48065150.109999992</v>
      </c>
      <c r="J221" s="76">
        <f t="shared" ref="J221:L221" si="89">J24+J25+J26+J27+J31+J187</f>
        <v>48065150.109999992</v>
      </c>
      <c r="K221" s="76">
        <f t="shared" si="89"/>
        <v>0</v>
      </c>
      <c r="L221" s="76">
        <f t="shared" si="89"/>
        <v>0</v>
      </c>
      <c r="M221" s="25">
        <f t="shared" si="75"/>
        <v>0.58566704983984819</v>
      </c>
      <c r="N221" s="25">
        <f t="shared" si="76"/>
        <v>0.64313235682779757</v>
      </c>
      <c r="O221" s="58">
        <f t="shared" si="77"/>
        <v>0</v>
      </c>
      <c r="P221" s="58">
        <f t="shared" si="78"/>
        <v>0</v>
      </c>
    </row>
    <row r="222" spans="1:16" s="2" customFormat="1" ht="37.5" x14ac:dyDescent="0.3">
      <c r="A222" s="30"/>
      <c r="B222" s="30"/>
      <c r="C222" s="31" t="s">
        <v>209</v>
      </c>
      <c r="D222" s="47" t="s">
        <v>210</v>
      </c>
      <c r="E222" s="37">
        <f t="shared" si="70"/>
        <v>136838832</v>
      </c>
      <c r="F222" s="48">
        <f t="shared" ref="F222:H222" si="90">F32+F92+F93+F102+F103+F104+F105+F106+F107+F108+F109+F110+F111+F112+F113+F114+F115+F116+F117+F118+F119+F130+F137+F138+F150+F162</f>
        <v>136658832</v>
      </c>
      <c r="G222" s="48">
        <f t="shared" si="90"/>
        <v>180000</v>
      </c>
      <c r="H222" s="48">
        <f t="shared" si="90"/>
        <v>0</v>
      </c>
      <c r="I222" s="37">
        <f t="shared" si="72"/>
        <v>92250977.129999995</v>
      </c>
      <c r="J222" s="76">
        <f t="shared" ref="J222:L222" si="91">J32+J92+J93+J102+J103+J104+J105+J106+J107+J108+J109+J110+J111+J112+J113+J114+J115+J116+J117+J118+J119+J130+J137+J138+J150+J162</f>
        <v>92243190.329999998</v>
      </c>
      <c r="K222" s="76">
        <f t="shared" si="91"/>
        <v>7786.8</v>
      </c>
      <c r="L222" s="76">
        <f t="shared" si="91"/>
        <v>0</v>
      </c>
      <c r="M222" s="25">
        <f t="shared" si="75"/>
        <v>0.6741578818065328</v>
      </c>
      <c r="N222" s="25">
        <f t="shared" si="76"/>
        <v>0.67498886811794201</v>
      </c>
      <c r="O222" s="58">
        <f t="shared" si="77"/>
        <v>4.326E-2</v>
      </c>
      <c r="P222" s="58"/>
    </row>
    <row r="223" spans="1:16" s="2" customFormat="1" ht="18.75" x14ac:dyDescent="0.3">
      <c r="A223" s="30"/>
      <c r="B223" s="30"/>
      <c r="C223" s="31" t="s">
        <v>211</v>
      </c>
      <c r="D223" s="47" t="s">
        <v>212</v>
      </c>
      <c r="E223" s="37">
        <f t="shared" si="70"/>
        <v>37127874</v>
      </c>
      <c r="F223" s="48">
        <f t="shared" ref="F223:H223" si="92">F139+F140+F141+F142+F143</f>
        <v>36817874</v>
      </c>
      <c r="G223" s="48">
        <f t="shared" si="92"/>
        <v>310000</v>
      </c>
      <c r="H223" s="48">
        <f t="shared" si="92"/>
        <v>0</v>
      </c>
      <c r="I223" s="37">
        <f t="shared" si="72"/>
        <v>24012960.890000001</v>
      </c>
      <c r="J223" s="76">
        <f t="shared" ref="J223:L223" si="93">J139+J140+J141+J142+J143</f>
        <v>23301836.039999999</v>
      </c>
      <c r="K223" s="76">
        <f t="shared" si="93"/>
        <v>711124.85</v>
      </c>
      <c r="L223" s="76">
        <f t="shared" si="93"/>
        <v>0</v>
      </c>
      <c r="M223" s="25">
        <f t="shared" si="75"/>
        <v>0.64676369269083389</v>
      </c>
      <c r="N223" s="25">
        <f t="shared" si="76"/>
        <v>0.63289466523786786</v>
      </c>
      <c r="O223" s="58" t="s">
        <v>435</v>
      </c>
      <c r="P223" s="58"/>
    </row>
    <row r="224" spans="1:16" s="2" customFormat="1" ht="18.75" x14ac:dyDescent="0.3">
      <c r="A224" s="30"/>
      <c r="B224" s="30"/>
      <c r="C224" s="31" t="s">
        <v>213</v>
      </c>
      <c r="D224" s="47" t="s">
        <v>214</v>
      </c>
      <c r="E224" s="37">
        <f t="shared" si="70"/>
        <v>29813943.699999999</v>
      </c>
      <c r="F224" s="48">
        <f t="shared" ref="F224:H224" si="94">F94+F151+F152+F154+F153+F155</f>
        <v>29813943.699999999</v>
      </c>
      <c r="G224" s="48">
        <f t="shared" si="94"/>
        <v>0</v>
      </c>
      <c r="H224" s="48">
        <f t="shared" si="94"/>
        <v>0</v>
      </c>
      <c r="I224" s="37">
        <f t="shared" si="72"/>
        <v>13127916.619999999</v>
      </c>
      <c r="J224" s="76">
        <f t="shared" ref="J224:L224" si="95">J94+J151+J152+J154+J153+J155</f>
        <v>13127916.619999999</v>
      </c>
      <c r="K224" s="76">
        <f t="shared" si="95"/>
        <v>0</v>
      </c>
      <c r="L224" s="76">
        <f t="shared" si="95"/>
        <v>0</v>
      </c>
      <c r="M224" s="25">
        <f t="shared" si="75"/>
        <v>0.44032808111863442</v>
      </c>
      <c r="N224" s="25">
        <f t="shared" si="76"/>
        <v>0.44032808111863442</v>
      </c>
      <c r="O224" s="58"/>
      <c r="P224" s="58"/>
    </row>
    <row r="225" spans="1:16" ht="18.75" x14ac:dyDescent="0.3">
      <c r="A225" s="30"/>
      <c r="B225" s="30"/>
      <c r="C225" s="31" t="s">
        <v>215</v>
      </c>
      <c r="D225" s="47" t="s">
        <v>216</v>
      </c>
      <c r="E225" s="37">
        <f t="shared" si="70"/>
        <v>178289247</v>
      </c>
      <c r="F225" s="48">
        <f t="shared" ref="F225:H225" si="96">F33+F163+F164+F168+F165+F166+F167+F169+F188+F189+F190+F201+F202</f>
        <v>141457937</v>
      </c>
      <c r="G225" s="48">
        <f t="shared" si="96"/>
        <v>36831310</v>
      </c>
      <c r="H225" s="48">
        <f t="shared" si="96"/>
        <v>36831310</v>
      </c>
      <c r="I225" s="37">
        <f t="shared" si="72"/>
        <v>115864656.53999999</v>
      </c>
      <c r="J225" s="76">
        <f t="shared" ref="J225:L225" si="97">J33+J163+J164+J168+J165+J166+J167+J169+J188+J189+J190+J201+J202</f>
        <v>86845297.139999986</v>
      </c>
      <c r="K225" s="76">
        <f t="shared" si="97"/>
        <v>29019359.400000002</v>
      </c>
      <c r="L225" s="76">
        <f t="shared" si="97"/>
        <v>29019359.400000002</v>
      </c>
      <c r="M225" s="25">
        <f t="shared" si="75"/>
        <v>0.64986901055227408</v>
      </c>
      <c r="N225" s="25">
        <f t="shared" si="76"/>
        <v>0.61393018293487478</v>
      </c>
      <c r="O225" s="58">
        <f t="shared" si="77"/>
        <v>0.78789919229047245</v>
      </c>
      <c r="P225" s="58">
        <f t="shared" si="78"/>
        <v>0.78789919229047245</v>
      </c>
    </row>
    <row r="226" spans="1:16" ht="18.75" x14ac:dyDescent="0.3">
      <c r="A226" s="30"/>
      <c r="B226" s="30"/>
      <c r="C226" s="31" t="s">
        <v>273</v>
      </c>
      <c r="D226" s="47" t="s">
        <v>274</v>
      </c>
      <c r="E226" s="37">
        <f t="shared" si="70"/>
        <v>182550233.33000001</v>
      </c>
      <c r="F226" s="48">
        <f t="shared" ref="F226:H226" si="98">F38+F39+F46+F47+F48+F49+F95+F120+F131+F144+F156+F157+F170+F171+F172+F173+F174+F191+F192+F193+F194+F203+F204+F205+F211</f>
        <v>169318996</v>
      </c>
      <c r="G226" s="48">
        <f t="shared" si="98"/>
        <v>13231237.330000002</v>
      </c>
      <c r="H226" s="48">
        <f t="shared" si="98"/>
        <v>1729067</v>
      </c>
      <c r="I226" s="37">
        <f t="shared" si="72"/>
        <v>124662325.66</v>
      </c>
      <c r="J226" s="76">
        <f t="shared" ref="J226:L226" si="99">J38+J39+J46+J47+J48+J49+J95+J120+J131+J144+J156+J157+J170+J171+J172+J173+J174+J191+J192+J193+J194+J203+J204+J205+J211</f>
        <v>122961242.47</v>
      </c>
      <c r="K226" s="76">
        <f t="shared" si="99"/>
        <v>1701083.19</v>
      </c>
      <c r="L226" s="76">
        <f t="shared" si="99"/>
        <v>0</v>
      </c>
      <c r="M226" s="25">
        <f t="shared" si="75"/>
        <v>0.68289326935367545</v>
      </c>
      <c r="N226" s="25">
        <f t="shared" si="76"/>
        <v>0.72621055743798524</v>
      </c>
      <c r="O226" s="58">
        <f t="shared" si="77"/>
        <v>0.12856569250277364</v>
      </c>
      <c r="P226" s="58">
        <f t="shared" si="78"/>
        <v>0</v>
      </c>
    </row>
    <row r="227" spans="1:16" ht="18.75" x14ac:dyDescent="0.3">
      <c r="A227" s="30"/>
      <c r="B227" s="30"/>
      <c r="C227" s="31" t="s">
        <v>276</v>
      </c>
      <c r="D227" s="47" t="s">
        <v>275</v>
      </c>
      <c r="E227" s="37">
        <f t="shared" si="70"/>
        <v>77171709</v>
      </c>
      <c r="F227" s="48">
        <f t="shared" ref="F227:H227" si="100">F50+F58+F59+F60+F61+F62+F63+F64+F65+F96+F124+F145+F175+F176+F177+F178+F179+F195+F206+F207+F212</f>
        <v>75982525</v>
      </c>
      <c r="G227" s="48">
        <f t="shared" si="100"/>
        <v>1189184</v>
      </c>
      <c r="H227" s="48">
        <f t="shared" si="100"/>
        <v>0</v>
      </c>
      <c r="I227" s="37">
        <f t="shared" si="72"/>
        <v>31643196.910000004</v>
      </c>
      <c r="J227" s="76">
        <f t="shared" ref="J227:L227" si="101">J50+J58+J59+J60+J61+J62+J63+J64+J65+J96+J124+J145+J175+J176+J177+J178+J179+J195+J206+J207+J212</f>
        <v>31643196.910000004</v>
      </c>
      <c r="K227" s="76">
        <f t="shared" si="101"/>
        <v>0</v>
      </c>
      <c r="L227" s="76">
        <f t="shared" si="101"/>
        <v>0</v>
      </c>
      <c r="M227" s="25">
        <f t="shared" si="75"/>
        <v>0.41003623374467452</v>
      </c>
      <c r="N227" s="25">
        <f t="shared" si="76"/>
        <v>0.41645361101121614</v>
      </c>
      <c r="O227" s="58">
        <f t="shared" si="77"/>
        <v>0</v>
      </c>
      <c r="P227" s="58"/>
    </row>
    <row r="228" spans="1:16" ht="18.75" x14ac:dyDescent="0.3">
      <c r="A228" s="30"/>
      <c r="B228" s="30"/>
      <c r="C228" s="31" t="s">
        <v>277</v>
      </c>
      <c r="D228" s="47" t="s">
        <v>278</v>
      </c>
      <c r="E228" s="37">
        <f t="shared" si="70"/>
        <v>158028212</v>
      </c>
      <c r="F228" s="48">
        <f t="shared" ref="F228:H228" si="102">F213+F214+F215+F216</f>
        <v>156348212</v>
      </c>
      <c r="G228" s="48">
        <f t="shared" si="102"/>
        <v>1680000</v>
      </c>
      <c r="H228" s="48">
        <f t="shared" si="102"/>
        <v>1680000</v>
      </c>
      <c r="I228" s="37">
        <f t="shared" si="72"/>
        <v>123105290.97</v>
      </c>
      <c r="J228" s="76">
        <f t="shared" ref="J228:L228" si="103">J213+J214+J215+J216</f>
        <v>121425290.97</v>
      </c>
      <c r="K228" s="76">
        <f t="shared" si="103"/>
        <v>1680000</v>
      </c>
      <c r="L228" s="76">
        <f t="shared" si="103"/>
        <v>1680000</v>
      </c>
      <c r="M228" s="25">
        <f t="shared" si="75"/>
        <v>0.7790083138446191</v>
      </c>
      <c r="N228" s="25">
        <f t="shared" si="76"/>
        <v>0.77663370381235952</v>
      </c>
      <c r="O228" s="58">
        <f t="shared" si="77"/>
        <v>1</v>
      </c>
      <c r="P228" s="58">
        <f t="shared" si="78"/>
        <v>1</v>
      </c>
    </row>
    <row r="229" spans="1:16" ht="18.75" x14ac:dyDescent="0.3">
      <c r="A229" s="49"/>
      <c r="B229" s="49"/>
      <c r="C229" s="49"/>
      <c r="D229" s="49" t="s">
        <v>1</v>
      </c>
      <c r="E229" s="34">
        <f t="shared" si="70"/>
        <v>1791170318.8299999</v>
      </c>
      <c r="F229" s="64">
        <f>SUM(F219:F228)</f>
        <v>1640636427</v>
      </c>
      <c r="G229" s="64">
        <f t="shared" ref="G229:H229" si="104">SUM(G219:G228)</f>
        <v>150533891.83000001</v>
      </c>
      <c r="H229" s="64">
        <f t="shared" si="104"/>
        <v>117230563.5</v>
      </c>
      <c r="I229" s="34">
        <f t="shared" si="72"/>
        <v>1208409487.6599998</v>
      </c>
      <c r="J229" s="77">
        <f>SUM(J219:J228)</f>
        <v>1107325294.8599999</v>
      </c>
      <c r="K229" s="77">
        <f t="shared" ref="K229" si="105">SUM(K219:K228)</f>
        <v>101084192.8</v>
      </c>
      <c r="L229" s="77">
        <f t="shared" ref="L229" si="106">SUM(L219:L228)</f>
        <v>62658792.230000004</v>
      </c>
      <c r="M229" s="24">
        <f t="shared" si="75"/>
        <v>0.67464800804054081</v>
      </c>
      <c r="N229" s="24">
        <f t="shared" si="76"/>
        <v>0.6749364311536159</v>
      </c>
      <c r="O229" s="57">
        <f t="shared" si="77"/>
        <v>0.671504546724639</v>
      </c>
      <c r="P229" s="57">
        <f t="shared" si="78"/>
        <v>0.53449194782724052</v>
      </c>
    </row>
    <row r="230" spans="1:16" ht="18.75" x14ac:dyDescent="0.3">
      <c r="A230" s="60"/>
      <c r="B230" s="60"/>
      <c r="C230" s="60"/>
      <c r="D230" s="60"/>
      <c r="F230" s="65">
        <f>F217-F229</f>
        <v>0</v>
      </c>
      <c r="G230" s="65">
        <v>0</v>
      </c>
      <c r="H230" s="65">
        <v>0</v>
      </c>
    </row>
    <row r="231" spans="1:16" ht="18.75" x14ac:dyDescent="0.3">
      <c r="A231" s="61"/>
      <c r="B231" s="61"/>
      <c r="C231" s="61"/>
      <c r="D231" s="61" t="s">
        <v>430</v>
      </c>
      <c r="F231" s="61"/>
      <c r="H231" s="61"/>
      <c r="J231" s="61" t="s">
        <v>431</v>
      </c>
    </row>
  </sheetData>
  <customSheetViews>
    <customSheetView guid="{22648713-93C4-4BCC-9593-E6D578C36006}" scale="72" showPageBreaks="1" fitToPage="1" printArea="1" hiddenRows="1" view="pageBreakPreview">
      <pane xSplit="4" ySplit="12" topLeftCell="E91" activePane="bottomRight" state="frozen"/>
      <selection pane="bottomRight" activeCell="E99" sqref="E99"/>
      <rowBreaks count="2" manualBreakCount="2">
        <brk id="70" max="15" man="1"/>
        <brk id="98" max="15" man="1"/>
      </rowBreaks>
      <pageMargins left="0.39370078740157483" right="0.15748031496062992" top="0.15748031496062992" bottom="0.11811023622047245" header="0.15748031496062992" footer="0.11811023622047245"/>
      <pageSetup paperSize="9" scale="45" fitToHeight="15" orientation="landscape" r:id="rId1"/>
    </customSheetView>
  </customSheetViews>
  <mergeCells count="27">
    <mergeCell ref="M1:O1"/>
    <mergeCell ref="B9:B13"/>
    <mergeCell ref="C9:C13"/>
    <mergeCell ref="D9:D13"/>
    <mergeCell ref="F11:F13"/>
    <mergeCell ref="K11:L11"/>
    <mergeCell ref="J10:L10"/>
    <mergeCell ref="I9:L9"/>
    <mergeCell ref="I10:I13"/>
    <mergeCell ref="N11:N13"/>
    <mergeCell ref="O11:P11"/>
    <mergeCell ref="K12:K13"/>
    <mergeCell ref="A4:P4"/>
    <mergeCell ref="M2:P2"/>
    <mergeCell ref="M3:P3"/>
    <mergeCell ref="A5:P5"/>
    <mergeCell ref="G12:G13"/>
    <mergeCell ref="O12:O13"/>
    <mergeCell ref="G11:H11"/>
    <mergeCell ref="J11:J13"/>
    <mergeCell ref="A9:A13"/>
    <mergeCell ref="M9:P9"/>
    <mergeCell ref="M10:M13"/>
    <mergeCell ref="N10:P10"/>
    <mergeCell ref="F10:H10"/>
    <mergeCell ref="E10:E13"/>
    <mergeCell ref="E9:H9"/>
  </mergeCells>
  <pageMargins left="0.39370078740157483" right="0.19685039370078741" top="0.39370078740157483" bottom="0.19685039370078741" header="0.15748031496062992" footer="0.11811023622047245"/>
  <pageSetup paperSize="9" scale="42" fitToWidth="11" fitToHeight="11" orientation="landscape" r:id="rId2"/>
  <headerFooter differentFirst="1" alignWithMargins="0">
    <oddHeader>&amp;C&amp;P</oddHeader>
  </headerFooter>
  <rowBreaks count="1" manualBreakCount="1">
    <brk id="18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220FU3</cp:lastModifiedBy>
  <cp:lastPrinted>2026-04-16T07:08:55Z</cp:lastPrinted>
  <dcterms:created xsi:type="dcterms:W3CDTF">2012-12-15T07:44:03Z</dcterms:created>
  <dcterms:modified xsi:type="dcterms:W3CDTF">2026-10-21T13:29:06Z</dcterms:modified>
</cp:coreProperties>
</file>