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0 сесія 29.03.2023\№356 Зміни до бюджету\"/>
    </mc:Choice>
  </mc:AlternateContent>
  <xr:revisionPtr revIDLastSave="0" documentId="13_ncr:1_{0C84A6DB-357B-4936-97F4-C4AAC8184C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Лист1!$14:$18</definedName>
    <definedName name="_xlnm.Print_Area" localSheetId="0">Лист1!$A$1:$P$190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F41" i="1"/>
  <c r="H79" i="1" l="1"/>
  <c r="H58" i="1"/>
  <c r="F50" i="1" l="1"/>
  <c r="O142" i="1"/>
  <c r="K142" i="1"/>
  <c r="F127" i="1"/>
  <c r="O120" i="1"/>
  <c r="K120" i="1"/>
  <c r="F56" i="1"/>
  <c r="F52" i="1"/>
  <c r="F51" i="1"/>
  <c r="F39" i="1"/>
  <c r="F28" i="1"/>
  <c r="F26" i="1"/>
  <c r="F22" i="1"/>
  <c r="I120" i="1"/>
  <c r="F120" i="1"/>
  <c r="F166" i="1" l="1"/>
  <c r="E169" i="1"/>
  <c r="P169" i="1" s="1"/>
  <c r="G42" i="1" l="1"/>
  <c r="H179" i="1"/>
  <c r="K179" i="1"/>
  <c r="L179" i="1"/>
  <c r="M179" i="1"/>
  <c r="N179" i="1"/>
  <c r="O179" i="1"/>
  <c r="G186" i="1"/>
  <c r="H186" i="1"/>
  <c r="I186" i="1"/>
  <c r="L186" i="1"/>
  <c r="M186" i="1"/>
  <c r="N186" i="1"/>
  <c r="F185" i="1"/>
  <c r="G185" i="1"/>
  <c r="H185" i="1"/>
  <c r="K185" i="1"/>
  <c r="L185" i="1"/>
  <c r="M185" i="1"/>
  <c r="N185" i="1"/>
  <c r="H184" i="1"/>
  <c r="L184" i="1"/>
  <c r="M184" i="1"/>
  <c r="N184" i="1"/>
  <c r="I178" i="1"/>
  <c r="L170" i="1"/>
  <c r="M170" i="1"/>
  <c r="N170" i="1"/>
  <c r="O170" i="1"/>
  <c r="K170" i="1"/>
  <c r="G170" i="1"/>
  <c r="H170" i="1"/>
  <c r="I170" i="1"/>
  <c r="E175" i="1"/>
  <c r="P175" i="1" s="1"/>
  <c r="F172" i="1"/>
  <c r="F170" i="1" s="1"/>
  <c r="E164" i="1"/>
  <c r="L152" i="1"/>
  <c r="M152" i="1"/>
  <c r="N152" i="1"/>
  <c r="O152" i="1"/>
  <c r="K152" i="1"/>
  <c r="G152" i="1"/>
  <c r="H152" i="1"/>
  <c r="F152" i="1"/>
  <c r="E158" i="1"/>
  <c r="P158" i="1" s="1"/>
  <c r="I157" i="1"/>
  <c r="I152" i="1" s="1"/>
  <c r="L131" i="1"/>
  <c r="M131" i="1"/>
  <c r="N131" i="1"/>
  <c r="H131" i="1"/>
  <c r="I131" i="1"/>
  <c r="O148" i="1"/>
  <c r="K148" i="1"/>
  <c r="K186" i="1" s="1"/>
  <c r="O146" i="1"/>
  <c r="K146" i="1"/>
  <c r="O144" i="1"/>
  <c r="K144" i="1"/>
  <c r="J137" i="1"/>
  <c r="P137" i="1" s="1"/>
  <c r="O135" i="1"/>
  <c r="K135" i="1"/>
  <c r="K131" i="1" s="1"/>
  <c r="G133" i="1"/>
  <c r="G131" i="1" s="1"/>
  <c r="F133" i="1"/>
  <c r="F131" i="1" s="1"/>
  <c r="L110" i="1"/>
  <c r="M110" i="1"/>
  <c r="N110" i="1"/>
  <c r="H110" i="1"/>
  <c r="E128" i="1"/>
  <c r="P128" i="1" s="1"/>
  <c r="I126" i="1"/>
  <c r="I110" i="1" s="1"/>
  <c r="E117" i="1"/>
  <c r="P117" i="1" s="1"/>
  <c r="F113" i="1"/>
  <c r="G111" i="1"/>
  <c r="G110" i="1" s="1"/>
  <c r="F111" i="1"/>
  <c r="F105" i="1"/>
  <c r="F97" i="1"/>
  <c r="G93" i="1"/>
  <c r="F93" i="1"/>
  <c r="L72" i="1"/>
  <c r="M72" i="1"/>
  <c r="N72" i="1"/>
  <c r="K72" i="1"/>
  <c r="H72" i="1"/>
  <c r="I72" i="1"/>
  <c r="J90" i="1"/>
  <c r="E90" i="1"/>
  <c r="F88" i="1"/>
  <c r="F74" i="1"/>
  <c r="L48" i="1"/>
  <c r="M48" i="1"/>
  <c r="N48" i="1"/>
  <c r="O48" i="1"/>
  <c r="K48" i="1"/>
  <c r="I48" i="1"/>
  <c r="E70" i="1"/>
  <c r="P70" i="1" s="1"/>
  <c r="F69" i="1"/>
  <c r="F68" i="1"/>
  <c r="P63" i="1"/>
  <c r="G62" i="1"/>
  <c r="H62" i="1"/>
  <c r="I62" i="1"/>
  <c r="I179" i="1" s="1"/>
  <c r="F62" i="1"/>
  <c r="E64" i="1"/>
  <c r="P64" i="1" s="1"/>
  <c r="E65" i="1"/>
  <c r="P65" i="1" s="1"/>
  <c r="I185" i="1" l="1"/>
  <c r="P90" i="1"/>
  <c r="E62" i="1"/>
  <c r="P62" i="1" s="1"/>
  <c r="F61" i="1" l="1"/>
  <c r="F59" i="1"/>
  <c r="F58" i="1"/>
  <c r="F53" i="1"/>
  <c r="G51" i="1"/>
  <c r="G49" i="1"/>
  <c r="F49" i="1"/>
  <c r="F44" i="1"/>
  <c r="E43" i="1"/>
  <c r="P43" i="1" s="1"/>
  <c r="J39" i="1"/>
  <c r="E39" i="1"/>
  <c r="F31" i="1"/>
  <c r="F29" i="1"/>
  <c r="F27" i="1"/>
  <c r="G25" i="1"/>
  <c r="F25" i="1"/>
  <c r="G24" i="1"/>
  <c r="F24" i="1"/>
  <c r="G23" i="1"/>
  <c r="F23" i="1"/>
  <c r="G22" i="1"/>
  <c r="O22" i="1"/>
  <c r="K22" i="1"/>
  <c r="P39" i="1" l="1"/>
  <c r="J141" i="1" l="1"/>
  <c r="E141" i="1"/>
  <c r="P141" i="1" l="1"/>
  <c r="O149" i="1"/>
  <c r="O150" i="1"/>
  <c r="O131" i="1" l="1"/>
  <c r="J131" i="1" s="1"/>
  <c r="M21" i="1"/>
  <c r="N21" i="1"/>
  <c r="O21" i="1"/>
  <c r="K21" i="1"/>
  <c r="O20" i="1" l="1"/>
  <c r="O178" i="1"/>
  <c r="N20" i="1"/>
  <c r="N178" i="1"/>
  <c r="M20" i="1"/>
  <c r="M178" i="1"/>
  <c r="K20" i="1"/>
  <c r="K178" i="1"/>
  <c r="J127" i="1"/>
  <c r="F183" i="1"/>
  <c r="G183" i="1"/>
  <c r="H183" i="1"/>
  <c r="I183" i="1"/>
  <c r="K183" i="1"/>
  <c r="L183" i="1"/>
  <c r="M183" i="1"/>
  <c r="N183" i="1"/>
  <c r="O183" i="1"/>
  <c r="G182" i="1"/>
  <c r="H182" i="1"/>
  <c r="I182" i="1"/>
  <c r="K182" i="1"/>
  <c r="L182" i="1"/>
  <c r="M182" i="1"/>
  <c r="N182" i="1"/>
  <c r="H181" i="1"/>
  <c r="I181" i="1"/>
  <c r="K181" i="1"/>
  <c r="L181" i="1"/>
  <c r="M181" i="1"/>
  <c r="N181" i="1"/>
  <c r="G180" i="1"/>
  <c r="H180" i="1"/>
  <c r="I180" i="1"/>
  <c r="K180" i="1"/>
  <c r="L180" i="1"/>
  <c r="M180" i="1"/>
  <c r="N180" i="1"/>
  <c r="O180" i="1"/>
  <c r="L187" i="1"/>
  <c r="M187" i="1"/>
  <c r="N187" i="1"/>
  <c r="O187" i="1"/>
  <c r="K187" i="1"/>
  <c r="G187" i="1"/>
  <c r="H187" i="1"/>
  <c r="I187" i="1"/>
  <c r="E166" i="1"/>
  <c r="J166" i="1"/>
  <c r="J168" i="1"/>
  <c r="J171" i="1"/>
  <c r="J172" i="1"/>
  <c r="J173" i="1"/>
  <c r="J174" i="1"/>
  <c r="E168" i="1"/>
  <c r="E171" i="1"/>
  <c r="E172" i="1"/>
  <c r="E173" i="1"/>
  <c r="E174" i="1"/>
  <c r="J159" i="1"/>
  <c r="E159" i="1"/>
  <c r="J147" i="1"/>
  <c r="J148" i="1"/>
  <c r="J149" i="1"/>
  <c r="E145" i="1"/>
  <c r="E146" i="1"/>
  <c r="E147" i="1"/>
  <c r="E148" i="1"/>
  <c r="E149" i="1"/>
  <c r="E150" i="1"/>
  <c r="J134" i="1"/>
  <c r="J135" i="1"/>
  <c r="J136" i="1"/>
  <c r="J138" i="1"/>
  <c r="J139" i="1"/>
  <c r="J140" i="1"/>
  <c r="J142" i="1"/>
  <c r="J143" i="1"/>
  <c r="J144" i="1"/>
  <c r="J145" i="1"/>
  <c r="J146" i="1"/>
  <c r="J150" i="1"/>
  <c r="E135" i="1"/>
  <c r="E136" i="1"/>
  <c r="E138" i="1"/>
  <c r="E139" i="1"/>
  <c r="E140" i="1"/>
  <c r="E142" i="1"/>
  <c r="E143" i="1"/>
  <c r="E144" i="1"/>
  <c r="J133" i="1"/>
  <c r="J132" i="1"/>
  <c r="E132" i="1"/>
  <c r="O129" i="1"/>
  <c r="O186" i="1" s="1"/>
  <c r="I161" i="1" l="1"/>
  <c r="P174" i="1"/>
  <c r="H161" i="1"/>
  <c r="P168" i="1"/>
  <c r="N188" i="1"/>
  <c r="F161" i="1"/>
  <c r="J170" i="1"/>
  <c r="G161" i="1"/>
  <c r="K161" i="1"/>
  <c r="M188" i="1"/>
  <c r="O161" i="1"/>
  <c r="N161" i="1"/>
  <c r="P173" i="1"/>
  <c r="M161" i="1"/>
  <c r="L161" i="1"/>
  <c r="P150" i="1"/>
  <c r="P159" i="1"/>
  <c r="P172" i="1"/>
  <c r="F187" i="1"/>
  <c r="E170" i="1"/>
  <c r="P171" i="1"/>
  <c r="P166" i="1"/>
  <c r="P132" i="1"/>
  <c r="P148" i="1"/>
  <c r="P149" i="1"/>
  <c r="P147" i="1"/>
  <c r="P146" i="1"/>
  <c r="P144" i="1"/>
  <c r="P143" i="1"/>
  <c r="P140" i="1"/>
  <c r="P138" i="1"/>
  <c r="P135" i="1"/>
  <c r="P145" i="1"/>
  <c r="P142" i="1"/>
  <c r="P139" i="1"/>
  <c r="P136" i="1"/>
  <c r="P170" i="1" l="1"/>
  <c r="E127" i="1"/>
  <c r="P127" i="1" s="1"/>
  <c r="J122" i="1"/>
  <c r="E121" i="1"/>
  <c r="E122" i="1"/>
  <c r="J121" i="1"/>
  <c r="F110" i="1"/>
  <c r="P121" i="1" l="1"/>
  <c r="P122" i="1"/>
  <c r="O115" i="1" l="1"/>
  <c r="O184" i="1" s="1"/>
  <c r="K115" i="1"/>
  <c r="O125" i="1"/>
  <c r="O185" i="1" s="1"/>
  <c r="J120" i="1"/>
  <c r="J123" i="1"/>
  <c r="J124" i="1"/>
  <c r="P124" i="1" s="1"/>
  <c r="K110" i="1" l="1"/>
  <c r="K184" i="1"/>
  <c r="O110" i="1"/>
  <c r="E125" i="1"/>
  <c r="J125" i="1"/>
  <c r="E115" i="1"/>
  <c r="J115" i="1"/>
  <c r="O98" i="1"/>
  <c r="O182" i="1" s="1"/>
  <c r="J89" i="1"/>
  <c r="E89" i="1"/>
  <c r="P125" i="1" l="1"/>
  <c r="P89" i="1"/>
  <c r="P115" i="1"/>
  <c r="O79" i="1" l="1"/>
  <c r="O72" i="1" s="1"/>
  <c r="G79" i="1"/>
  <c r="G72" i="1" s="1"/>
  <c r="F79" i="1"/>
  <c r="F72" i="1" s="1"/>
  <c r="E69" i="1"/>
  <c r="P69" i="1" s="1"/>
  <c r="F67" i="1"/>
  <c r="J61" i="1"/>
  <c r="E61" i="1"/>
  <c r="G54" i="1"/>
  <c r="F54" i="1"/>
  <c r="F179" i="1" s="1"/>
  <c r="G53" i="1"/>
  <c r="G52" i="1"/>
  <c r="F45" i="1"/>
  <c r="F186" i="1" s="1"/>
  <c r="F180" i="1"/>
  <c r="E26" i="1"/>
  <c r="P26" i="1" s="1"/>
  <c r="H48" i="1" l="1"/>
  <c r="F48" i="1"/>
  <c r="F181" i="1"/>
  <c r="O181" i="1"/>
  <c r="G181" i="1"/>
  <c r="P61" i="1"/>
  <c r="F100" i="1" l="1"/>
  <c r="F182" i="1" s="1"/>
  <c r="K188" i="1" l="1"/>
  <c r="J41" i="1"/>
  <c r="O188" i="1"/>
  <c r="E126" i="1" l="1"/>
  <c r="P126" i="1" s="1"/>
  <c r="G58" i="1"/>
  <c r="G56" i="1"/>
  <c r="G48" i="1" l="1"/>
  <c r="G179" i="1"/>
  <c r="E45" i="1"/>
  <c r="P45" i="1" s="1"/>
  <c r="E41" i="1"/>
  <c r="P41" i="1" l="1"/>
  <c r="E30" i="1"/>
  <c r="P30" i="1" s="1"/>
  <c r="L21" i="1" l="1"/>
  <c r="L20" i="1" l="1"/>
  <c r="L178" i="1"/>
  <c r="L188" i="1"/>
  <c r="J87" i="1"/>
  <c r="E87" i="1"/>
  <c r="P87" i="1" l="1"/>
  <c r="E120" i="1" l="1"/>
  <c r="E157" i="1" l="1"/>
  <c r="G34" i="1" l="1"/>
  <c r="G184" i="1" s="1"/>
  <c r="I34" i="1"/>
  <c r="F34" i="1"/>
  <c r="F184" i="1" s="1"/>
  <c r="G21" i="1"/>
  <c r="F21" i="1"/>
  <c r="H21" i="1"/>
  <c r="J164" i="1"/>
  <c r="J165" i="1"/>
  <c r="J162" i="1"/>
  <c r="E163" i="1"/>
  <c r="E165" i="1"/>
  <c r="E162" i="1"/>
  <c r="E161" i="1" s="1"/>
  <c r="G160" i="1"/>
  <c r="H160" i="1"/>
  <c r="I160" i="1"/>
  <c r="F160" i="1"/>
  <c r="J154" i="1"/>
  <c r="J155" i="1"/>
  <c r="J156" i="1"/>
  <c r="J157" i="1"/>
  <c r="L151" i="1"/>
  <c r="M151" i="1"/>
  <c r="O151" i="1"/>
  <c r="K151" i="1"/>
  <c r="E154" i="1"/>
  <c r="E155" i="1"/>
  <c r="E156" i="1"/>
  <c r="E153" i="1"/>
  <c r="G151" i="1"/>
  <c r="H151" i="1"/>
  <c r="I151" i="1"/>
  <c r="F151" i="1"/>
  <c r="L130" i="1"/>
  <c r="M130" i="1"/>
  <c r="N130" i="1"/>
  <c r="O130" i="1"/>
  <c r="K130" i="1"/>
  <c r="E134" i="1"/>
  <c r="E133" i="1"/>
  <c r="G130" i="1"/>
  <c r="H130" i="1"/>
  <c r="F130" i="1"/>
  <c r="J112" i="1"/>
  <c r="J113" i="1"/>
  <c r="J114" i="1"/>
  <c r="J116" i="1"/>
  <c r="J118" i="1"/>
  <c r="J119" i="1"/>
  <c r="P120" i="1"/>
  <c r="J129" i="1"/>
  <c r="J111" i="1"/>
  <c r="N109" i="1"/>
  <c r="L109" i="1"/>
  <c r="M109" i="1"/>
  <c r="O109" i="1"/>
  <c r="K109" i="1"/>
  <c r="E112" i="1"/>
  <c r="E113" i="1"/>
  <c r="E114" i="1"/>
  <c r="E116" i="1"/>
  <c r="E118" i="1"/>
  <c r="E119" i="1"/>
  <c r="E123" i="1"/>
  <c r="E129" i="1"/>
  <c r="E111" i="1"/>
  <c r="G109" i="1"/>
  <c r="H109" i="1"/>
  <c r="I109" i="1"/>
  <c r="F109" i="1"/>
  <c r="J104" i="1"/>
  <c r="J105" i="1"/>
  <c r="J106" i="1"/>
  <c r="J107" i="1"/>
  <c r="J108" i="1"/>
  <c r="J103" i="1"/>
  <c r="L102" i="1"/>
  <c r="M102" i="1"/>
  <c r="M101" i="1" s="1"/>
  <c r="N102" i="1"/>
  <c r="N101" i="1" s="1"/>
  <c r="O102" i="1"/>
  <c r="O101" i="1" s="1"/>
  <c r="K102" i="1"/>
  <c r="K101" i="1" s="1"/>
  <c r="E104" i="1"/>
  <c r="E105" i="1"/>
  <c r="E106" i="1"/>
  <c r="E107" i="1"/>
  <c r="E108" i="1"/>
  <c r="E103" i="1"/>
  <c r="G102" i="1"/>
  <c r="G101" i="1" s="1"/>
  <c r="H102" i="1"/>
  <c r="H101" i="1" s="1"/>
  <c r="I102" i="1"/>
  <c r="I101" i="1" s="1"/>
  <c r="F102" i="1"/>
  <c r="J94" i="1"/>
  <c r="J95" i="1"/>
  <c r="J96" i="1"/>
  <c r="J97" i="1"/>
  <c r="J98" i="1"/>
  <c r="J99" i="1"/>
  <c r="J100" i="1"/>
  <c r="J93" i="1"/>
  <c r="L92" i="1"/>
  <c r="M92" i="1"/>
  <c r="M91" i="1" s="1"/>
  <c r="N92" i="1"/>
  <c r="N91" i="1" s="1"/>
  <c r="O92" i="1"/>
  <c r="O91" i="1" s="1"/>
  <c r="K92" i="1"/>
  <c r="K91" i="1" s="1"/>
  <c r="E94" i="1"/>
  <c r="E95" i="1"/>
  <c r="E96" i="1"/>
  <c r="E97" i="1"/>
  <c r="E98" i="1"/>
  <c r="E99" i="1"/>
  <c r="E100" i="1"/>
  <c r="E93" i="1"/>
  <c r="G92" i="1"/>
  <c r="G91" i="1" s="1"/>
  <c r="H92" i="1"/>
  <c r="H91" i="1" s="1"/>
  <c r="I92" i="1"/>
  <c r="I91" i="1" s="1"/>
  <c r="F92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8" i="1"/>
  <c r="J73" i="1"/>
  <c r="O71" i="1"/>
  <c r="M71" i="1"/>
  <c r="N71" i="1"/>
  <c r="K71" i="1"/>
  <c r="G71" i="1"/>
  <c r="H71" i="1"/>
  <c r="F71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8" i="1"/>
  <c r="E73" i="1"/>
  <c r="I71" i="1"/>
  <c r="L47" i="1"/>
  <c r="N47" i="1"/>
  <c r="O47" i="1"/>
  <c r="J50" i="1"/>
  <c r="J51" i="1"/>
  <c r="J52" i="1"/>
  <c r="J53" i="1"/>
  <c r="J54" i="1"/>
  <c r="J55" i="1"/>
  <c r="J56" i="1"/>
  <c r="J57" i="1"/>
  <c r="J58" i="1"/>
  <c r="J59" i="1"/>
  <c r="J60" i="1"/>
  <c r="J66" i="1"/>
  <c r="J67" i="1"/>
  <c r="J68" i="1"/>
  <c r="J49" i="1"/>
  <c r="G47" i="1"/>
  <c r="H47" i="1"/>
  <c r="I47" i="1"/>
  <c r="E50" i="1"/>
  <c r="E51" i="1"/>
  <c r="E52" i="1"/>
  <c r="E53" i="1"/>
  <c r="E54" i="1"/>
  <c r="E55" i="1"/>
  <c r="E56" i="1"/>
  <c r="E57" i="1"/>
  <c r="E58" i="1"/>
  <c r="E59" i="1"/>
  <c r="E60" i="1"/>
  <c r="E66" i="1"/>
  <c r="E67" i="1"/>
  <c r="E68" i="1"/>
  <c r="E49" i="1"/>
  <c r="J22" i="1"/>
  <c r="J23" i="1"/>
  <c r="J24" i="1"/>
  <c r="J25" i="1"/>
  <c r="J27" i="1"/>
  <c r="J28" i="1"/>
  <c r="J29" i="1"/>
  <c r="J31" i="1"/>
  <c r="J32" i="1"/>
  <c r="J33" i="1"/>
  <c r="J34" i="1"/>
  <c r="J184" i="1" s="1"/>
  <c r="J35" i="1"/>
  <c r="J36" i="1"/>
  <c r="J37" i="1"/>
  <c r="J38" i="1"/>
  <c r="J40" i="1"/>
  <c r="J42" i="1"/>
  <c r="J44" i="1"/>
  <c r="J46" i="1"/>
  <c r="J21" i="1"/>
  <c r="N19" i="1"/>
  <c r="L19" i="1"/>
  <c r="M19" i="1"/>
  <c r="O19" i="1"/>
  <c r="K19" i="1"/>
  <c r="E22" i="1"/>
  <c r="E23" i="1"/>
  <c r="E24" i="1"/>
  <c r="E25" i="1"/>
  <c r="E35" i="1"/>
  <c r="E36" i="1"/>
  <c r="E37" i="1"/>
  <c r="E27" i="1"/>
  <c r="E28" i="1"/>
  <c r="E29" i="1"/>
  <c r="E31" i="1"/>
  <c r="E32" i="1"/>
  <c r="E33" i="1"/>
  <c r="E38" i="1"/>
  <c r="E40" i="1"/>
  <c r="E42" i="1"/>
  <c r="E44" i="1"/>
  <c r="E46" i="1"/>
  <c r="E179" i="1" l="1"/>
  <c r="G20" i="1"/>
  <c r="G19" i="1" s="1"/>
  <c r="G176" i="1" s="1"/>
  <c r="G178" i="1"/>
  <c r="J72" i="1"/>
  <c r="H20" i="1"/>
  <c r="H178" i="1"/>
  <c r="I20" i="1"/>
  <c r="I184" i="1"/>
  <c r="F20" i="1"/>
  <c r="F19" i="1" s="1"/>
  <c r="F178" i="1"/>
  <c r="F188" i="1" s="1"/>
  <c r="J186" i="1"/>
  <c r="J179" i="1"/>
  <c r="E185" i="1"/>
  <c r="J185" i="1"/>
  <c r="J178" i="1"/>
  <c r="E186" i="1"/>
  <c r="H188" i="1"/>
  <c r="E160" i="1"/>
  <c r="G188" i="1"/>
  <c r="J110" i="1"/>
  <c r="E180" i="1"/>
  <c r="J183" i="1"/>
  <c r="J181" i="1"/>
  <c r="E181" i="1"/>
  <c r="J180" i="1"/>
  <c r="J182" i="1"/>
  <c r="E187" i="1"/>
  <c r="H19" i="1"/>
  <c r="H176" i="1" s="1"/>
  <c r="I19" i="1"/>
  <c r="J187" i="1"/>
  <c r="E34" i="1"/>
  <c r="E184" i="1" s="1"/>
  <c r="P116" i="1"/>
  <c r="P29" i="1"/>
  <c r="P73" i="1"/>
  <c r="P134" i="1"/>
  <c r="P88" i="1"/>
  <c r="P79" i="1"/>
  <c r="P93" i="1"/>
  <c r="P27" i="1"/>
  <c r="P49" i="1"/>
  <c r="E131" i="1"/>
  <c r="E48" i="1"/>
  <c r="E92" i="1"/>
  <c r="P31" i="1"/>
  <c r="P82" i="1"/>
  <c r="P74" i="1"/>
  <c r="P113" i="1"/>
  <c r="P66" i="1"/>
  <c r="P55" i="1"/>
  <c r="P81" i="1"/>
  <c r="P85" i="1"/>
  <c r="P77" i="1"/>
  <c r="P96" i="1"/>
  <c r="P119" i="1"/>
  <c r="E183" i="1"/>
  <c r="P108" i="1"/>
  <c r="P133" i="1"/>
  <c r="P35" i="1"/>
  <c r="P37" i="1"/>
  <c r="E102" i="1"/>
  <c r="E109" i="1"/>
  <c r="P46" i="1"/>
  <c r="P100" i="1"/>
  <c r="J130" i="1"/>
  <c r="P103" i="1"/>
  <c r="P25" i="1"/>
  <c r="P60" i="1"/>
  <c r="J151" i="1"/>
  <c r="J163" i="1"/>
  <c r="P163" i="1" s="1"/>
  <c r="P54" i="1"/>
  <c r="J19" i="1"/>
  <c r="P97" i="1"/>
  <c r="J92" i="1"/>
  <c r="P164" i="1"/>
  <c r="E151" i="1"/>
  <c r="P162" i="1"/>
  <c r="P42" i="1"/>
  <c r="P99" i="1"/>
  <c r="P107" i="1"/>
  <c r="P153" i="1"/>
  <c r="P44" i="1"/>
  <c r="P59" i="1"/>
  <c r="P53" i="1"/>
  <c r="P28" i="1"/>
  <c r="P156" i="1"/>
  <c r="P67" i="1"/>
  <c r="P56" i="1"/>
  <c r="P36" i="1"/>
  <c r="P95" i="1"/>
  <c r="P105" i="1"/>
  <c r="P24" i="1"/>
  <c r="P32" i="1"/>
  <c r="P83" i="1"/>
  <c r="P75" i="1"/>
  <c r="E110" i="1"/>
  <c r="E182" i="1"/>
  <c r="F91" i="1"/>
  <c r="E91" i="1" s="1"/>
  <c r="E21" i="1"/>
  <c r="E178" i="1" s="1"/>
  <c r="P23" i="1"/>
  <c r="N160" i="1"/>
  <c r="J109" i="1"/>
  <c r="F47" i="1"/>
  <c r="E47" i="1" s="1"/>
  <c r="P68" i="1"/>
  <c r="P57" i="1"/>
  <c r="K47" i="1"/>
  <c r="P80" i="1"/>
  <c r="P106" i="1"/>
  <c r="P111" i="1"/>
  <c r="P110" i="1" s="1"/>
  <c r="J152" i="1"/>
  <c r="P22" i="1"/>
  <c r="P51" i="1"/>
  <c r="F101" i="1"/>
  <c r="P129" i="1"/>
  <c r="P112" i="1"/>
  <c r="P118" i="1"/>
  <c r="I130" i="1"/>
  <c r="E130" i="1" s="1"/>
  <c r="P40" i="1"/>
  <c r="P38" i="1"/>
  <c r="P50" i="1"/>
  <c r="M47" i="1"/>
  <c r="P86" i="1"/>
  <c r="P78" i="1"/>
  <c r="P94" i="1"/>
  <c r="P98" i="1"/>
  <c r="P123" i="1"/>
  <c r="N151" i="1"/>
  <c r="N176" i="1" s="1"/>
  <c r="J20" i="1"/>
  <c r="P114" i="1"/>
  <c r="P33" i="1"/>
  <c r="P84" i="1"/>
  <c r="P76" i="1"/>
  <c r="L71" i="1"/>
  <c r="J71" i="1" s="1"/>
  <c r="L91" i="1"/>
  <c r="J91" i="1" s="1"/>
  <c r="P104" i="1"/>
  <c r="J102" i="1"/>
  <c r="P157" i="1"/>
  <c r="P154" i="1"/>
  <c r="E72" i="1"/>
  <c r="P155" i="1"/>
  <c r="P165" i="1"/>
  <c r="P52" i="1"/>
  <c r="J48" i="1"/>
  <c r="P58" i="1"/>
  <c r="M160" i="1"/>
  <c r="L160" i="1"/>
  <c r="O160" i="1"/>
  <c r="O176" i="1"/>
  <c r="E152" i="1"/>
  <c r="L101" i="1"/>
  <c r="J101" i="1" s="1"/>
  <c r="E71" i="1"/>
  <c r="J47" i="1"/>
  <c r="P187" i="1" l="1"/>
  <c r="P185" i="1"/>
  <c r="E19" i="1"/>
  <c r="E188" i="1"/>
  <c r="I188" i="1"/>
  <c r="J188" i="1"/>
  <c r="P186" i="1"/>
  <c r="P21" i="1"/>
  <c r="P34" i="1"/>
  <c r="P184" i="1"/>
  <c r="K176" i="1"/>
  <c r="P131" i="1"/>
  <c r="J161" i="1"/>
  <c r="J176" i="1" s="1"/>
  <c r="M176" i="1"/>
  <c r="K160" i="1"/>
  <c r="I176" i="1"/>
  <c r="P102" i="1"/>
  <c r="P92" i="1"/>
  <c r="P48" i="1"/>
  <c r="L176" i="1"/>
  <c r="P71" i="1"/>
  <c r="P72" i="1"/>
  <c r="P109" i="1"/>
  <c r="P152" i="1"/>
  <c r="P130" i="1"/>
  <c r="P151" i="1"/>
  <c r="F176" i="1"/>
  <c r="E20" i="1"/>
  <c r="P20" i="1" s="1"/>
  <c r="E101" i="1"/>
  <c r="P91" i="1"/>
  <c r="P179" i="1"/>
  <c r="P47" i="1"/>
  <c r="P181" i="1"/>
  <c r="P182" i="1"/>
  <c r="J160" i="1"/>
  <c r="P160" i="1" s="1"/>
  <c r="P19" i="1" l="1"/>
  <c r="E176" i="1"/>
  <c r="P161" i="1"/>
  <c r="P178" i="1"/>
  <c r="P188" i="1"/>
  <c r="P180" i="1"/>
  <c r="P101" i="1"/>
  <c r="P183" i="1"/>
  <c r="P176" i="1" l="1"/>
</calcChain>
</file>

<file path=xl/sharedStrings.xml><?xml version="1.0" encoding="utf-8"?>
<sst xmlns="http://schemas.openxmlformats.org/spreadsheetml/2006/main" count="603" uniqueCount="382">
  <si>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</si>
  <si>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</si>
  <si>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</si>
  <si>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</si>
  <si>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</si>
  <si>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</si>
  <si>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</si>
  <si>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</si>
  <si>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</si>
  <si>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</si>
  <si>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</si>
  <si>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</si>
  <si>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</si>
  <si>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</si>
  <si>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</si>
  <si>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</si>
  <si>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</si>
  <si>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</si>
  <si>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</si>
  <si>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</si>
  <si>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</si>
  <si>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</si>
  <si>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</si>
  <si>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</si>
  <si>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</si>
  <si>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</si>
  <si>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</si>
  <si>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</si>
  <si>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</si>
  <si>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</si>
  <si>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</si>
  <si>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</si>
  <si>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</si>
  <si>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</si>
  <si>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</si>
  <si>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</si>
  <si>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</si>
  <si>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</si>
  <si>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</si>
  <si>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</si>
  <si>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</si>
  <si>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</si>
  <si>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</si>
  <si>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</si>
  <si>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</si>
  <si>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</si>
  <si>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</si>
  <si>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</si>
  <si>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</si>
  <si>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</si>
  <si>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</si>
  <si>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</si>
  <si>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</si>
  <si>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</si>
  <si>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</si>
  <si>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</si>
  <si>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</si>
  <si>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</si>
  <si>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</si>
  <si>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</si>
  <si>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</si>
  <si>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</si>
  <si>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</si>
  <si>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</si>
  <si>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</si>
  <si>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</si>
  <si>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</si>
  <si>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</si>
  <si>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</si>
  <si>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</si>
  <si>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</si>
  <si>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</si>
  <si>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</si>
  <si>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</si>
  <si>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</si>
  <si>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</si>
  <si>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</si>
  <si>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</si>
  <si>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</si>
  <si>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</si>
  <si>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</si>
  <si>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</si>
  <si>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</si>
  <si>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</si>
  <si>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</si>
  <si>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</si>
  <si>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</si>
  <si>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</si>
  <si>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</si>
  <si>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</si>
  <si>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</si>
  <si>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</si>
  <si>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</si>
  <si>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</si>
  <si>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</si>
  <si>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</si>
  <si>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</si>
  <si>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</si>
  <si>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</si>
  <si>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</si>
  <si>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</si>
  <si>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</si>
  <si>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</si>
  <si>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</si>
  <si>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</si>
  <si>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</si>
  <si>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</si>
  <si>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</si>
  <si>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</si>
  <si>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</si>
  <si>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</si>
  <si>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</si>
  <si>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</si>
  <si>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</si>
  <si>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</si>
  <si>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</si>
  <si>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</si>
  <si>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</si>
  <si>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</si>
  <si>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</si>
  <si>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</si>
  <si>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</si>
  <si>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</si>
  <si>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</si>
  <si>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</si>
  <si>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</si>
  <si>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</si>
  <si>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</si>
  <si>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</si>
  <si>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</si>
  <si>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</si>
  <si>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</si>
  <si>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</si>
  <si>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</si>
  <si>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</si>
  <si>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</si>
  <si>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</si>
  <si>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</si>
  <si>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</si>
  <si>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</si>
  <si>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</si>
  <si>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</si>
  <si>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</si>
  <si>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</si>
  <si>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</si>
  <si>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</si>
  <si>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</si>
  <si>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</si>
  <si>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</si>
  <si>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</si>
  <si>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</si>
  <si>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</si>
  <si>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</si>
  <si>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</si>
  <si>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</si>
  <si>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</si>
  <si>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</si>
  <si>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</si>
  <si>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</si>
  <si>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</si>
  <si>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</si>
  <si>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</si>
  <si>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</si>
  <si>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</si>
  <si>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</si>
  <si>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</si>
  <si>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</si>
  <si>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</si>
  <si>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</si>
  <si>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</si>
  <si>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</si>
  <si>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</si>
  <si>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</si>
  <si>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</si>
  <si>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</si>
  <si>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</si>
  <si>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</si>
  <si>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</si>
  <si>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</si>
  <si>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</si>
  <si>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</si>
  <si>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</si>
  <si>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</si>
  <si>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</si>
  <si>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</si>
  <si>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</si>
  <si>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</si>
  <si>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</si>
  <si>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</si>
  <si>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</si>
  <si>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</si>
  <si>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</si>
  <si>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</si>
  <si>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</si>
  <si>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</si>
  <si>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</si>
  <si>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</si>
  <si>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</si>
  <si>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</si>
  <si>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</si>
  <si>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</si>
  <si>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</si>
  <si>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</si>
  <si>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</si>
  <si>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</si>
  <si>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</si>
  <si>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</si>
  <si>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</si>
  <si>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</si>
  <si>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</si>
  <si>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</si>
  <si>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</si>
  <si>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</si>
  <si>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</si>
  <si>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</si>
  <si>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</si>
  <si>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</si>
  <si>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</si>
  <si>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</si>
  <si>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</si>
  <si>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</si>
  <si>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</si>
  <si>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</si>
  <si>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</si>
  <si>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</si>
  <si>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</si>
  <si>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</si>
  <si>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</si>
  <si>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</si>
  <si>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</si>
  <si>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</si>
  <si>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</si>
  <si>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</si>
  <si>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</si>
  <si>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</si>
  <si>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</si>
  <si>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</si>
  <si>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</si>
  <si>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</si>
  <si>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</si>
  <si>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</si>
  <si>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</si>
  <si>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</si>
  <si>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</si>
  <si>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</si>
  <si>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</si>
  <si>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</si>
  <si>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</si>
  <si>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</si>
  <si>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</si>
  <si>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</si>
  <si>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</si>
  <si>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</si>
  <si>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</si>
  <si>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</si>
  <si>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</si>
  <si>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</si>
  <si>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</si>
  <si>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</si>
  <si>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</si>
  <si>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</si>
  <si>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</si>
  <si>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</si>
  <si>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</si>
  <si>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</si>
  <si>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</si>
  <si>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</si>
  <si>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Начальник фінансового управління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</si>
  <si>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</si>
  <si>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</si>
  <si>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</si>
  <si>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</si>
  <si>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</si>
  <si>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</si>
  <si>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</si>
  <si>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</si>
  <si>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</si>
  <si>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</si>
  <si>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</si>
  <si>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</si>
  <si>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</si>
  <si>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</si>
  <si>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</si>
  <si>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</si>
  <si>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</si>
  <si>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</si>
  <si>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</si>
  <si>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</si>
  <si>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</si>
  <si>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</si>
  <si>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</si>
  <si>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</si>
  <si>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</si>
  <si>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</si>
  <si>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</si>
  <si>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</si>
  <si>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</si>
  <si>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</si>
  <si>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</si>
  <si>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</si>
  <si>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</si>
  <si>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</si>
  <si>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</si>
  <si>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</si>
  <si>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</si>
  <si>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</si>
  <si>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</si>
  <si>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</si>
  <si>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</si>
  <si>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</si>
  <si>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</si>
  <si>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</si>
  <si>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</si>
  <si>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</si>
  <si>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</si>
  <si>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</si>
  <si>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</si>
  <si>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</si>
  <si>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</si>
  <si>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</si>
  <si>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</si>
  <si>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</si>
  <si>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</si>
  <si>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</si>
  <si>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</si>
  <si>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</si>
  <si>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</si>
  <si>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</si>
  <si>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</si>
  <si>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</si>
  <si>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</si>
  <si>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</si>
  <si>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</si>
  <si>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</si>
  <si>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</si>
  <si>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</si>
  <si>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</si>
  <si>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</si>
  <si>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</si>
  <si>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</si>
  <si>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</si>
  <si>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</si>
  <si>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</si>
  <si>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</si>
  <si>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</si>
  <si>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</si>
  <si>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</si>
  <si>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</si>
  <si>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</si>
  <si>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</si>
  <si>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</si>
  <si>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</si>
  <si>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</si>
  <si>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</si>
  <si>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</si>
  <si>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</si>
  <si>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</si>
  <si>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</si>
  <si>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</si>
  <si>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</si>
  <si>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</si>
  <si>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</si>
  <si>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</si>
  <si>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</si>
  <si>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</si>
  <si>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</si>
  <si>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</si>
  <si>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</si>
  <si>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</si>
  <si>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</si>
  <si>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</si>
  <si>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</si>
  <si>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</si>
  <si>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</si>
  <si>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</si>
  <si>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</si>
  <si>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</si>
  <si>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</si>
  <si>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</si>
  <si>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Додаток 2</t>
  </si>
  <si>
    <t>Управління освiти Чорноморської мiської ради Одеського району Одеської областi</t>
  </si>
  <si>
    <t>від 29.03.2023 №  356 -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</si>
</sst>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;\-#,##0.00;#.00,&quot;-&quot;"/>
    <numFmt numFmtId="166" formatCode="#,##0.00_ ;\-#,##0.00\ "/>
    <numFmt numFmtId="167" formatCode="#,##0_ ;\-#,##0\ 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2" fillId="2" borderId="0" xfId="0" applyNumberFormat="1" applyFont="1" applyFill="1"/>
    <xf numFmtId="166" fontId="3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6" fontId="5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right" vertical="center"/>
    </xf>
    <xf numFmtId="166" fontId="2" fillId="2" borderId="0" xfId="0" applyNumberFormat="1" applyFont="1" applyFill="1"/>
    <xf numFmtId="166" fontId="2" fillId="2" borderId="1" xfId="0" applyNumberFormat="1" applyFont="1" applyFill="1" applyBorder="1"/>
    <xf numFmtId="166" fontId="3" fillId="2" borderId="1" xfId="0" applyNumberFormat="1" applyFont="1" applyFill="1" applyBorder="1"/>
    <xf numFmtId="167" fontId="2" fillId="2" borderId="0" xfId="0" applyNumberFormat="1" applyFont="1" applyFill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2" fillId="3" borderId="0" xfId="0" applyFont="1" applyFill="1"/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0"/>
  <sheetViews>
    <sheetView showZeros="0" tabSelected="1" view="pageBreakPreview" zoomScale="70" zoomScaleNormal="70" zoomScaleSheetLayoutView="70" workbookViewId="0">
      <pane xSplit="4" ySplit="18" topLeftCell="H37" activePane="bottomRight" state="frozen"/>
      <selection pane="topRight" activeCell="E1" sqref="E1"/>
      <selection pane="bottomLeft" activeCell="A14" sqref="A14"/>
      <selection pane="bottomRight" activeCell="M4" sqref="M4:N4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18" style="6" customWidth="1"/>
    <col min="6" max="7" width="17" style="6" customWidth="1"/>
    <col min="8" max="8" width="15.6640625" style="6" customWidth="1"/>
    <col min="9" max="9" width="17.5546875" style="6" customWidth="1"/>
    <col min="10" max="11" width="17.109375" style="6" customWidth="1"/>
    <col min="12" max="14" width="15.6640625" style="6" customWidth="1"/>
    <col min="15" max="15" width="17.109375" style="6" customWidth="1"/>
    <col min="16" max="16" width="20.44140625" style="6" customWidth="1"/>
    <col min="17" max="16384" width="8.88671875" style="6"/>
  </cols>
  <sheetData>
    <row r="1" spans="1:16" x14ac:dyDescent="0.3">
      <c r="M1" s="6" t="s">
        <v>379</v>
      </c>
    </row>
    <row r="2" spans="1:16" x14ac:dyDescent="0.3">
      <c r="M2" s="6" t="s">
        <v>247</v>
      </c>
    </row>
    <row r="3" spans="1:16" x14ac:dyDescent="0.3">
      <c r="M3" s="6" t="s">
        <v>248</v>
      </c>
    </row>
    <row r="4" spans="1:16" x14ac:dyDescent="0.3">
      <c r="M4" s="40" t="s">
        <v>381</v>
      </c>
      <c r="N4" s="40"/>
    </row>
    <row r="6" spans="1:16" x14ac:dyDescent="0.3">
      <c r="M6" s="6" t="s">
        <v>301</v>
      </c>
    </row>
    <row r="7" spans="1:16" x14ac:dyDescent="0.3">
      <c r="M7" s="6" t="s">
        <v>247</v>
      </c>
    </row>
    <row r="8" spans="1:16" x14ac:dyDescent="0.3">
      <c r="M8" s="6" t="s">
        <v>248</v>
      </c>
    </row>
    <row r="9" spans="1:16" x14ac:dyDescent="0.3">
      <c r="M9" s="6" t="s">
        <v>302</v>
      </c>
    </row>
    <row r="10" spans="1:16" x14ac:dyDescent="0.3">
      <c r="A10" s="36" t="s">
        <v>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1" spans="1:16" x14ac:dyDescent="0.3">
      <c r="A11" s="36" t="s">
        <v>284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</row>
    <row r="12" spans="1:16" x14ac:dyDescent="0.3">
      <c r="A12" s="7" t="s">
        <v>271</v>
      </c>
    </row>
    <row r="13" spans="1:16" x14ac:dyDescent="0.3">
      <c r="A13" s="6" t="s">
        <v>1</v>
      </c>
      <c r="P13" s="8" t="s">
        <v>2</v>
      </c>
    </row>
    <row r="14" spans="1:16" s="9" customFormat="1" ht="13.2" x14ac:dyDescent="0.25">
      <c r="A14" s="38" t="s">
        <v>3</v>
      </c>
      <c r="B14" s="38" t="s">
        <v>4</v>
      </c>
      <c r="C14" s="38" t="s">
        <v>5</v>
      </c>
      <c r="D14" s="38" t="s">
        <v>6</v>
      </c>
      <c r="E14" s="39" t="s">
        <v>7</v>
      </c>
      <c r="F14" s="39"/>
      <c r="G14" s="39"/>
      <c r="H14" s="39"/>
      <c r="I14" s="39"/>
      <c r="J14" s="39" t="s">
        <v>13</v>
      </c>
      <c r="K14" s="39"/>
      <c r="L14" s="39"/>
      <c r="M14" s="39"/>
      <c r="N14" s="39"/>
      <c r="O14" s="39"/>
      <c r="P14" s="39" t="s">
        <v>15</v>
      </c>
    </row>
    <row r="15" spans="1:16" s="9" customFormat="1" ht="13.2" x14ac:dyDescent="0.25">
      <c r="A15" s="38"/>
      <c r="B15" s="38"/>
      <c r="C15" s="38"/>
      <c r="D15" s="38"/>
      <c r="E15" s="39" t="s">
        <v>8</v>
      </c>
      <c r="F15" s="39" t="s">
        <v>9</v>
      </c>
      <c r="G15" s="39" t="s">
        <v>10</v>
      </c>
      <c r="H15" s="39"/>
      <c r="I15" s="39" t="s">
        <v>12</v>
      </c>
      <c r="J15" s="39" t="s">
        <v>8</v>
      </c>
      <c r="K15" s="39" t="s">
        <v>14</v>
      </c>
      <c r="L15" s="39" t="s">
        <v>9</v>
      </c>
      <c r="M15" s="39" t="s">
        <v>10</v>
      </c>
      <c r="N15" s="39"/>
      <c r="O15" s="39" t="s">
        <v>12</v>
      </c>
      <c r="P15" s="39"/>
    </row>
    <row r="16" spans="1:16" s="9" customFormat="1" ht="13.2" x14ac:dyDescent="0.25">
      <c r="A16" s="38"/>
      <c r="B16" s="38"/>
      <c r="C16" s="38"/>
      <c r="D16" s="38"/>
      <c r="E16" s="39"/>
      <c r="F16" s="39"/>
      <c r="G16" s="39" t="s">
        <v>268</v>
      </c>
      <c r="H16" s="39" t="s">
        <v>11</v>
      </c>
      <c r="I16" s="39"/>
      <c r="J16" s="39"/>
      <c r="K16" s="39"/>
      <c r="L16" s="39"/>
      <c r="M16" s="39" t="s">
        <v>268</v>
      </c>
      <c r="N16" s="39" t="s">
        <v>11</v>
      </c>
      <c r="O16" s="39"/>
      <c r="P16" s="39"/>
    </row>
    <row r="17" spans="1:16" s="9" customFormat="1" ht="44.25" customHeight="1" x14ac:dyDescent="0.25">
      <c r="A17" s="38"/>
      <c r="B17" s="38"/>
      <c r="C17" s="38"/>
      <c r="D17" s="38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x14ac:dyDescent="0.3">
      <c r="A18" s="10">
        <v>1</v>
      </c>
      <c r="B18" s="10">
        <v>2</v>
      </c>
      <c r="C18" s="10">
        <v>3</v>
      </c>
      <c r="D18" s="10">
        <v>4</v>
      </c>
      <c r="E18" s="10">
        <v>5</v>
      </c>
      <c r="F18" s="10">
        <v>6</v>
      </c>
      <c r="G18" s="10">
        <v>7</v>
      </c>
      <c r="H18" s="10">
        <v>8</v>
      </c>
      <c r="I18" s="10">
        <v>9</v>
      </c>
      <c r="J18" s="10">
        <v>10</v>
      </c>
      <c r="K18" s="10">
        <v>11</v>
      </c>
      <c r="L18" s="10">
        <v>12</v>
      </c>
      <c r="M18" s="10">
        <v>13</v>
      </c>
      <c r="N18" s="10">
        <v>14</v>
      </c>
      <c r="O18" s="10">
        <v>15</v>
      </c>
      <c r="P18" s="10">
        <v>16</v>
      </c>
    </row>
    <row r="19" spans="1:16" ht="46.8" x14ac:dyDescent="0.3">
      <c r="A19" s="11" t="s">
        <v>16</v>
      </c>
      <c r="B19" s="11" t="s">
        <v>17</v>
      </c>
      <c r="C19" s="11" t="s">
        <v>17</v>
      </c>
      <c r="D19" s="12" t="s">
        <v>18</v>
      </c>
      <c r="E19" s="25">
        <f t="shared" ref="E19:E25" si="0">F19+I19</f>
        <v>137255010</v>
      </c>
      <c r="F19" s="25">
        <f>F20</f>
        <v>135455010</v>
      </c>
      <c r="G19" s="25">
        <f>G20</f>
        <v>66806400</v>
      </c>
      <c r="H19" s="25">
        <f>H20</f>
        <v>5670200</v>
      </c>
      <c r="I19" s="25">
        <f>I20</f>
        <v>1800000</v>
      </c>
      <c r="J19" s="25">
        <f>L19+O19</f>
        <v>1876500</v>
      </c>
      <c r="K19" s="25">
        <f>K20</f>
        <v>1540000</v>
      </c>
      <c r="L19" s="25">
        <f>L20</f>
        <v>336500</v>
      </c>
      <c r="M19" s="25">
        <f>M20</f>
        <v>0</v>
      </c>
      <c r="N19" s="25">
        <f>N20</f>
        <v>0</v>
      </c>
      <c r="O19" s="25">
        <f>O20</f>
        <v>1540000</v>
      </c>
      <c r="P19" s="25">
        <f>E19+J19</f>
        <v>139131510</v>
      </c>
    </row>
    <row r="20" spans="1:16" ht="46.8" x14ac:dyDescent="0.3">
      <c r="A20" s="11" t="s">
        <v>19</v>
      </c>
      <c r="B20" s="11" t="s">
        <v>17</v>
      </c>
      <c r="C20" s="11" t="s">
        <v>17</v>
      </c>
      <c r="D20" s="12" t="s">
        <v>18</v>
      </c>
      <c r="E20" s="25">
        <f t="shared" si="0"/>
        <v>137255010</v>
      </c>
      <c r="F20" s="25">
        <f>F21+F26+F27+F28+F29+F30+F31+F32+F33+F34+F38+F39+F40+F41+F42+F43+F44+F45+F46</f>
        <v>135455010</v>
      </c>
      <c r="G20" s="25">
        <f t="shared" ref="G20:K20" si="1">G21+G26+G27+G28+G29+G30+G31+G32+G33+G34+G38+G39+G40+G41+G42+G43+G44+G45+G46</f>
        <v>66806400</v>
      </c>
      <c r="H20" s="25">
        <f t="shared" si="1"/>
        <v>5670200</v>
      </c>
      <c r="I20" s="25">
        <f t="shared" si="1"/>
        <v>1800000</v>
      </c>
      <c r="J20" s="25">
        <f>L20+O20</f>
        <v>1876500</v>
      </c>
      <c r="K20" s="25">
        <f t="shared" si="1"/>
        <v>1540000</v>
      </c>
      <c r="L20" s="25">
        <f t="shared" ref="L20" si="2">L21+L26+L27+L28+L29+L30+L31+L32+L33+L34+L38+L39+L40+L41+L42+L43+L44+L45+L46</f>
        <v>336500</v>
      </c>
      <c r="M20" s="25">
        <f t="shared" ref="M20" si="3">M21+M26+M27+M28+M29+M30+M31+M32+M33+M34+M38+M39+M40+M41+M42+M43+M44+M45+M46</f>
        <v>0</v>
      </c>
      <c r="N20" s="25">
        <f t="shared" ref="N20" si="4">N21+N26+N27+N28+N29+N30+N31+N32+N33+N34+N38+N39+N40+N41+N42+N43+N44+N45+N46</f>
        <v>0</v>
      </c>
      <c r="O20" s="25">
        <f t="shared" ref="O20" si="5">O21+O26+O27+O28+O29+O30+O31+O32+O33+O34+O38+O39+O40+O41+O42+O43+O44+O45+O46</f>
        <v>1540000</v>
      </c>
      <c r="P20" s="25">
        <f>E20+J20</f>
        <v>139131510</v>
      </c>
    </row>
    <row r="21" spans="1:16" ht="93.6" x14ac:dyDescent="0.3">
      <c r="A21" s="13" t="s">
        <v>20</v>
      </c>
      <c r="B21" s="13" t="s">
        <v>21</v>
      </c>
      <c r="C21" s="13" t="s">
        <v>22</v>
      </c>
      <c r="D21" s="14" t="s">
        <v>23</v>
      </c>
      <c r="E21" s="26">
        <f t="shared" si="0"/>
        <v>61964700</v>
      </c>
      <c r="F21" s="26">
        <f>F22+F23+F24+F25</f>
        <v>61964700</v>
      </c>
      <c r="G21" s="26">
        <f>G22+G23+G24+G25</f>
        <v>51525100</v>
      </c>
      <c r="H21" s="26">
        <f>H22+H23+H24+H25</f>
        <v>5236100</v>
      </c>
      <c r="I21" s="26">
        <v>0</v>
      </c>
      <c r="J21" s="26">
        <f>L21+O21</f>
        <v>730500</v>
      </c>
      <c r="K21" s="26">
        <f>K22+K23+K24+K25</f>
        <v>590000</v>
      </c>
      <c r="L21" s="26">
        <f>L22+L23+L24+L25</f>
        <v>140500</v>
      </c>
      <c r="M21" s="26">
        <f t="shared" ref="M21:O21" si="6">M22+M23+M24+M25</f>
        <v>0</v>
      </c>
      <c r="N21" s="26">
        <f t="shared" si="6"/>
        <v>0</v>
      </c>
      <c r="O21" s="26">
        <f t="shared" si="6"/>
        <v>590000</v>
      </c>
      <c r="P21" s="26">
        <f>E21+J21</f>
        <v>62695200</v>
      </c>
    </row>
    <row r="22" spans="1:16" s="17" customFormat="1" ht="46.8" x14ac:dyDescent="0.3">
      <c r="A22" s="15"/>
      <c r="B22" s="15"/>
      <c r="C22" s="15"/>
      <c r="D22" s="16" t="s">
        <v>18</v>
      </c>
      <c r="E22" s="26">
        <f t="shared" si="0"/>
        <v>55363500</v>
      </c>
      <c r="F22" s="27">
        <f>53843500+500000+300000+10000+720000-10000</f>
        <v>55363500</v>
      </c>
      <c r="G22" s="27">
        <f>45394700+720000</f>
        <v>46114700</v>
      </c>
      <c r="H22" s="27">
        <v>4867400</v>
      </c>
      <c r="I22" s="27"/>
      <c r="J22" s="27">
        <f t="shared" ref="J22:J46" si="7">L22+O22</f>
        <v>630498</v>
      </c>
      <c r="K22" s="27">
        <f>490000</f>
        <v>490000</v>
      </c>
      <c r="L22" s="27">
        <v>140498</v>
      </c>
      <c r="M22" s="27"/>
      <c r="N22" s="27"/>
      <c r="O22" s="27">
        <f>490000</f>
        <v>490000</v>
      </c>
      <c r="P22" s="27">
        <f t="shared" ref="P22:P46" si="8">E22+J22</f>
        <v>55993998</v>
      </c>
    </row>
    <row r="23" spans="1:16" s="17" customFormat="1" ht="62.4" x14ac:dyDescent="0.3">
      <c r="A23" s="15"/>
      <c r="B23" s="15"/>
      <c r="C23" s="15"/>
      <c r="D23" s="16" t="s">
        <v>250</v>
      </c>
      <c r="E23" s="26">
        <f t="shared" si="0"/>
        <v>2596100</v>
      </c>
      <c r="F23" s="27">
        <f>2452100+23500+120500</f>
        <v>2596100</v>
      </c>
      <c r="G23" s="27">
        <f>1989100+120500</f>
        <v>2109600</v>
      </c>
      <c r="H23" s="27">
        <v>184600</v>
      </c>
      <c r="I23" s="27"/>
      <c r="J23" s="27">
        <f t="shared" si="7"/>
        <v>1</v>
      </c>
      <c r="K23" s="27"/>
      <c r="L23" s="27">
        <v>1</v>
      </c>
      <c r="M23" s="27"/>
      <c r="N23" s="27"/>
      <c r="O23" s="27"/>
      <c r="P23" s="27">
        <f t="shared" si="8"/>
        <v>2596101</v>
      </c>
    </row>
    <row r="24" spans="1:16" s="17" customFormat="1" ht="62.4" x14ac:dyDescent="0.3">
      <c r="A24" s="15"/>
      <c r="B24" s="15"/>
      <c r="C24" s="15"/>
      <c r="D24" s="16" t="s">
        <v>251</v>
      </c>
      <c r="E24" s="26">
        <f t="shared" si="0"/>
        <v>1798800</v>
      </c>
      <c r="F24" s="27">
        <f>1687300+111500</f>
        <v>1798800</v>
      </c>
      <c r="G24" s="27">
        <f>1368500+111500</f>
        <v>1480000</v>
      </c>
      <c r="H24" s="27">
        <v>71200</v>
      </c>
      <c r="I24" s="27"/>
      <c r="J24" s="27">
        <f t="shared" si="7"/>
        <v>100000</v>
      </c>
      <c r="K24" s="27">
        <v>100000</v>
      </c>
      <c r="L24" s="27"/>
      <c r="M24" s="27"/>
      <c r="N24" s="27"/>
      <c r="O24" s="27">
        <v>100000</v>
      </c>
      <c r="P24" s="27">
        <f t="shared" si="8"/>
        <v>1898800</v>
      </c>
    </row>
    <row r="25" spans="1:16" s="17" customFormat="1" ht="64.95" customHeight="1" x14ac:dyDescent="0.3">
      <c r="A25" s="15"/>
      <c r="B25" s="15"/>
      <c r="C25" s="15"/>
      <c r="D25" s="16" t="s">
        <v>252</v>
      </c>
      <c r="E25" s="26">
        <f t="shared" si="0"/>
        <v>2206300</v>
      </c>
      <c r="F25" s="27">
        <f>2072300+134000</f>
        <v>2206300</v>
      </c>
      <c r="G25" s="27">
        <f>1686800+134000</f>
        <v>1820800</v>
      </c>
      <c r="H25" s="27">
        <v>112900</v>
      </c>
      <c r="I25" s="27"/>
      <c r="J25" s="26">
        <f t="shared" si="7"/>
        <v>1</v>
      </c>
      <c r="K25" s="27"/>
      <c r="L25" s="27">
        <v>1</v>
      </c>
      <c r="M25" s="27"/>
      <c r="N25" s="27"/>
      <c r="O25" s="27"/>
      <c r="P25" s="26">
        <f t="shared" si="8"/>
        <v>2206301</v>
      </c>
    </row>
    <row r="26" spans="1:16" ht="46.8" x14ac:dyDescent="0.3">
      <c r="A26" s="21" t="s">
        <v>303</v>
      </c>
      <c r="B26" s="21" t="s">
        <v>24</v>
      </c>
      <c r="C26" s="21" t="s">
        <v>25</v>
      </c>
      <c r="D26" s="14" t="s">
        <v>26</v>
      </c>
      <c r="E26" s="26">
        <f t="shared" ref="E26:E46" si="9">F26+I26</f>
        <v>17000</v>
      </c>
      <c r="F26" s="26">
        <f>7000+10000</f>
        <v>17000</v>
      </c>
      <c r="G26" s="26"/>
      <c r="H26" s="26"/>
      <c r="I26" s="26"/>
      <c r="J26" s="26"/>
      <c r="K26" s="26"/>
      <c r="L26" s="26"/>
      <c r="M26" s="26"/>
      <c r="N26" s="26"/>
      <c r="O26" s="26"/>
      <c r="P26" s="26">
        <f t="shared" si="8"/>
        <v>17000</v>
      </c>
    </row>
    <row r="27" spans="1:16" ht="31.2" x14ac:dyDescent="0.3">
      <c r="A27" s="13" t="s">
        <v>27</v>
      </c>
      <c r="B27" s="13" t="s">
        <v>28</v>
      </c>
      <c r="C27" s="13" t="s">
        <v>29</v>
      </c>
      <c r="D27" s="14" t="s">
        <v>30</v>
      </c>
      <c r="E27" s="26">
        <f t="shared" si="9"/>
        <v>1837500</v>
      </c>
      <c r="F27" s="26">
        <f>1738500+99000</f>
        <v>1837500</v>
      </c>
      <c r="G27" s="26">
        <v>0</v>
      </c>
      <c r="H27" s="26">
        <v>0</v>
      </c>
      <c r="I27" s="26">
        <v>0</v>
      </c>
      <c r="J27" s="26">
        <f t="shared" si="7"/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f t="shared" si="8"/>
        <v>1837500</v>
      </c>
    </row>
    <row r="28" spans="1:16" ht="31.2" x14ac:dyDescent="0.3">
      <c r="A28" s="13" t="s">
        <v>31</v>
      </c>
      <c r="B28" s="13" t="s">
        <v>32</v>
      </c>
      <c r="C28" s="13" t="s">
        <v>33</v>
      </c>
      <c r="D28" s="14" t="s">
        <v>34</v>
      </c>
      <c r="E28" s="26">
        <f t="shared" si="9"/>
        <v>26364610</v>
      </c>
      <c r="F28" s="26">
        <f>23270300+500000+2395000+199310</f>
        <v>26364610</v>
      </c>
      <c r="G28" s="26">
        <v>0</v>
      </c>
      <c r="H28" s="26">
        <v>0</v>
      </c>
      <c r="I28" s="26">
        <v>0</v>
      </c>
      <c r="J28" s="26">
        <f t="shared" si="7"/>
        <v>950000</v>
      </c>
      <c r="K28" s="26">
        <v>950000</v>
      </c>
      <c r="L28" s="26">
        <v>0</v>
      </c>
      <c r="M28" s="26">
        <v>0</v>
      </c>
      <c r="N28" s="26">
        <v>0</v>
      </c>
      <c r="O28" s="26">
        <v>950000</v>
      </c>
      <c r="P28" s="26">
        <f t="shared" si="8"/>
        <v>27314610</v>
      </c>
    </row>
    <row r="29" spans="1:16" x14ac:dyDescent="0.3">
      <c r="A29" s="13" t="s">
        <v>35</v>
      </c>
      <c r="B29" s="13" t="s">
        <v>36</v>
      </c>
      <c r="C29" s="13" t="s">
        <v>37</v>
      </c>
      <c r="D29" s="14" t="s">
        <v>38</v>
      </c>
      <c r="E29" s="26">
        <f t="shared" si="9"/>
        <v>6775700</v>
      </c>
      <c r="F29" s="26">
        <f>6680000+95700</f>
        <v>6775700</v>
      </c>
      <c r="G29" s="26">
        <v>0</v>
      </c>
      <c r="H29" s="26">
        <v>0</v>
      </c>
      <c r="I29" s="26">
        <v>0</v>
      </c>
      <c r="J29" s="26">
        <f t="shared" si="7"/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f t="shared" si="8"/>
        <v>6775700</v>
      </c>
    </row>
    <row r="30" spans="1:16" ht="56.4" customHeight="1" x14ac:dyDescent="0.3">
      <c r="A30" s="22" t="s">
        <v>286</v>
      </c>
      <c r="B30" s="20">
        <v>2111</v>
      </c>
      <c r="C30" s="22" t="s">
        <v>272</v>
      </c>
      <c r="D30" s="14" t="s">
        <v>273</v>
      </c>
      <c r="E30" s="26">
        <f t="shared" si="9"/>
        <v>174800</v>
      </c>
      <c r="F30" s="26">
        <v>174800</v>
      </c>
      <c r="G30" s="26"/>
      <c r="H30" s="26"/>
      <c r="I30" s="26"/>
      <c r="J30" s="26"/>
      <c r="K30" s="26"/>
      <c r="L30" s="26"/>
      <c r="M30" s="26"/>
      <c r="N30" s="26"/>
      <c r="O30" s="26"/>
      <c r="P30" s="26">
        <f t="shared" si="8"/>
        <v>174800</v>
      </c>
    </row>
    <row r="31" spans="1:16" ht="31.2" x14ac:dyDescent="0.3">
      <c r="A31" s="13" t="s">
        <v>39</v>
      </c>
      <c r="B31" s="13" t="s">
        <v>40</v>
      </c>
      <c r="C31" s="13" t="s">
        <v>41</v>
      </c>
      <c r="D31" s="14" t="s">
        <v>287</v>
      </c>
      <c r="E31" s="26">
        <f t="shared" si="9"/>
        <v>2038900</v>
      </c>
      <c r="F31" s="26">
        <f>1794900+244000</f>
        <v>2038900</v>
      </c>
      <c r="G31" s="26">
        <v>0</v>
      </c>
      <c r="H31" s="26">
        <v>0</v>
      </c>
      <c r="I31" s="26">
        <v>0</v>
      </c>
      <c r="J31" s="26">
        <f t="shared" si="7"/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f t="shared" si="8"/>
        <v>2038900</v>
      </c>
    </row>
    <row r="32" spans="1:16" ht="31.2" x14ac:dyDescent="0.3">
      <c r="A32" s="13" t="s">
        <v>42</v>
      </c>
      <c r="B32" s="13" t="s">
        <v>43</v>
      </c>
      <c r="C32" s="13" t="s">
        <v>44</v>
      </c>
      <c r="D32" s="14" t="s">
        <v>45</v>
      </c>
      <c r="E32" s="26">
        <f t="shared" si="9"/>
        <v>137900</v>
      </c>
      <c r="F32" s="26">
        <v>137900</v>
      </c>
      <c r="G32" s="26">
        <v>0</v>
      </c>
      <c r="H32" s="26">
        <v>0</v>
      </c>
      <c r="I32" s="26">
        <v>0</v>
      </c>
      <c r="J32" s="26">
        <f t="shared" si="7"/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f t="shared" si="8"/>
        <v>137900</v>
      </c>
    </row>
    <row r="33" spans="1:16" ht="31.2" x14ac:dyDescent="0.3">
      <c r="A33" s="13" t="s">
        <v>46</v>
      </c>
      <c r="B33" s="13" t="s">
        <v>47</v>
      </c>
      <c r="C33" s="13" t="s">
        <v>48</v>
      </c>
      <c r="D33" s="14" t="s">
        <v>49</v>
      </c>
      <c r="E33" s="26">
        <f t="shared" si="9"/>
        <v>4000000</v>
      </c>
      <c r="F33" s="26">
        <v>4000000</v>
      </c>
      <c r="G33" s="26">
        <v>0</v>
      </c>
      <c r="H33" s="26">
        <v>0</v>
      </c>
      <c r="I33" s="26">
        <v>0</v>
      </c>
      <c r="J33" s="26">
        <f t="shared" si="7"/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f t="shared" si="8"/>
        <v>4000000</v>
      </c>
    </row>
    <row r="34" spans="1:16" ht="31.2" x14ac:dyDescent="0.3">
      <c r="A34" s="13" t="s">
        <v>50</v>
      </c>
      <c r="B34" s="13" t="s">
        <v>51</v>
      </c>
      <c r="C34" s="13" t="s">
        <v>52</v>
      </c>
      <c r="D34" s="14" t="s">
        <v>53</v>
      </c>
      <c r="E34" s="26">
        <f t="shared" si="9"/>
        <v>7071800</v>
      </c>
      <c r="F34" s="26">
        <f>F35+F36+F37</f>
        <v>7071800</v>
      </c>
      <c r="G34" s="26">
        <f>G35+G36+G37</f>
        <v>0</v>
      </c>
      <c r="H34" s="26">
        <v>0</v>
      </c>
      <c r="I34" s="26">
        <f>I35+I36+I37</f>
        <v>0</v>
      </c>
      <c r="J34" s="26">
        <f t="shared" si="7"/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f t="shared" si="8"/>
        <v>7071800</v>
      </c>
    </row>
    <row r="35" spans="1:16" s="17" customFormat="1" ht="62.4" x14ac:dyDescent="0.3">
      <c r="A35" s="15"/>
      <c r="B35" s="15"/>
      <c r="C35" s="15"/>
      <c r="D35" s="16" t="s">
        <v>250</v>
      </c>
      <c r="E35" s="26">
        <f t="shared" si="9"/>
        <v>3515000</v>
      </c>
      <c r="F35" s="27">
        <v>3515000</v>
      </c>
      <c r="G35" s="27"/>
      <c r="H35" s="26">
        <v>0</v>
      </c>
      <c r="I35" s="27"/>
      <c r="J35" s="26">
        <f t="shared" si="7"/>
        <v>0</v>
      </c>
      <c r="K35" s="27"/>
      <c r="L35" s="27"/>
      <c r="M35" s="27"/>
      <c r="N35" s="27"/>
      <c r="O35" s="27"/>
      <c r="P35" s="26">
        <f t="shared" si="8"/>
        <v>3515000</v>
      </c>
    </row>
    <row r="36" spans="1:16" s="17" customFormat="1" ht="62.4" x14ac:dyDescent="0.3">
      <c r="A36" s="15"/>
      <c r="B36" s="15"/>
      <c r="C36" s="15"/>
      <c r="D36" s="16" t="s">
        <v>251</v>
      </c>
      <c r="E36" s="26">
        <f t="shared" si="9"/>
        <v>1567100</v>
      </c>
      <c r="F36" s="27">
        <v>1567100</v>
      </c>
      <c r="G36" s="27"/>
      <c r="H36" s="26">
        <v>0</v>
      </c>
      <c r="I36" s="27"/>
      <c r="J36" s="26">
        <f t="shared" si="7"/>
        <v>0</v>
      </c>
      <c r="K36" s="27"/>
      <c r="L36" s="27"/>
      <c r="M36" s="27"/>
      <c r="N36" s="27"/>
      <c r="O36" s="27"/>
      <c r="P36" s="26">
        <f t="shared" si="8"/>
        <v>1567100</v>
      </c>
    </row>
    <row r="37" spans="1:16" s="17" customFormat="1" ht="63" customHeight="1" x14ac:dyDescent="0.3">
      <c r="A37" s="15"/>
      <c r="B37" s="15"/>
      <c r="C37" s="15"/>
      <c r="D37" s="16" t="s">
        <v>252</v>
      </c>
      <c r="E37" s="26">
        <f t="shared" si="9"/>
        <v>1989700</v>
      </c>
      <c r="F37" s="27">
        <v>1989700</v>
      </c>
      <c r="G37" s="27"/>
      <c r="H37" s="26">
        <v>0</v>
      </c>
      <c r="I37" s="27"/>
      <c r="J37" s="26">
        <f t="shared" si="7"/>
        <v>0</v>
      </c>
      <c r="K37" s="27"/>
      <c r="L37" s="27"/>
      <c r="M37" s="27"/>
      <c r="N37" s="27"/>
      <c r="O37" s="27"/>
      <c r="P37" s="26">
        <f t="shared" si="8"/>
        <v>1989700</v>
      </c>
    </row>
    <row r="38" spans="1:16" ht="46.8" x14ac:dyDescent="0.3">
      <c r="A38" s="22" t="s">
        <v>274</v>
      </c>
      <c r="B38" s="22">
        <v>7351</v>
      </c>
      <c r="C38" s="22" t="s">
        <v>275</v>
      </c>
      <c r="D38" s="14" t="s">
        <v>276</v>
      </c>
      <c r="E38" s="26">
        <f t="shared" si="9"/>
        <v>1800000</v>
      </c>
      <c r="F38" s="26"/>
      <c r="G38" s="26">
        <v>0</v>
      </c>
      <c r="H38" s="26">
        <v>0</v>
      </c>
      <c r="I38" s="26">
        <v>1800000</v>
      </c>
      <c r="J38" s="26">
        <f t="shared" si="7"/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f t="shared" si="8"/>
        <v>1800000</v>
      </c>
    </row>
    <row r="39" spans="1:16" ht="31.2" x14ac:dyDescent="0.3">
      <c r="A39" s="22" t="s">
        <v>364</v>
      </c>
      <c r="B39" s="22" t="s">
        <v>334</v>
      </c>
      <c r="C39" s="22" t="s">
        <v>56</v>
      </c>
      <c r="D39" s="14" t="s">
        <v>335</v>
      </c>
      <c r="E39" s="26">
        <f t="shared" si="9"/>
        <v>370000</v>
      </c>
      <c r="F39" s="26">
        <f>10000+360000</f>
        <v>370000</v>
      </c>
      <c r="G39" s="26"/>
      <c r="H39" s="26"/>
      <c r="I39" s="26"/>
      <c r="J39" s="26">
        <f>L39+O39</f>
        <v>0</v>
      </c>
      <c r="K39" s="26"/>
      <c r="L39" s="26"/>
      <c r="M39" s="26"/>
      <c r="N39" s="26"/>
      <c r="O39" s="26"/>
      <c r="P39" s="26">
        <f t="shared" si="8"/>
        <v>370000</v>
      </c>
    </row>
    <row r="40" spans="1:16" ht="31.2" x14ac:dyDescent="0.3">
      <c r="A40" s="13" t="s">
        <v>54</v>
      </c>
      <c r="B40" s="13" t="s">
        <v>55</v>
      </c>
      <c r="C40" s="13" t="s">
        <v>56</v>
      </c>
      <c r="D40" s="14" t="s">
        <v>57</v>
      </c>
      <c r="E40" s="26">
        <f t="shared" si="9"/>
        <v>70700</v>
      </c>
      <c r="F40" s="26">
        <v>70700</v>
      </c>
      <c r="G40" s="26">
        <v>0</v>
      </c>
      <c r="H40" s="26">
        <v>0</v>
      </c>
      <c r="I40" s="26">
        <v>0</v>
      </c>
      <c r="J40" s="26">
        <f t="shared" si="7"/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f t="shared" si="8"/>
        <v>70700</v>
      </c>
    </row>
    <row r="41" spans="1:16" ht="46.8" x14ac:dyDescent="0.3">
      <c r="A41" s="22" t="s">
        <v>277</v>
      </c>
      <c r="B41" s="22" t="s">
        <v>278</v>
      </c>
      <c r="C41" s="22" t="s">
        <v>279</v>
      </c>
      <c r="D41" s="14" t="s">
        <v>280</v>
      </c>
      <c r="E41" s="26">
        <f t="shared" si="9"/>
        <v>1323000</v>
      </c>
      <c r="F41" s="26">
        <f>1000000+124000+199000</f>
        <v>1323000</v>
      </c>
      <c r="G41" s="26"/>
      <c r="H41" s="26"/>
      <c r="I41" s="26"/>
      <c r="J41" s="26">
        <f t="shared" si="7"/>
        <v>0</v>
      </c>
      <c r="K41" s="26"/>
      <c r="L41" s="26"/>
      <c r="M41" s="26"/>
      <c r="N41" s="26"/>
      <c r="O41" s="26"/>
      <c r="P41" s="26">
        <f t="shared" si="8"/>
        <v>1323000</v>
      </c>
    </row>
    <row r="42" spans="1:16" ht="31.2" x14ac:dyDescent="0.3">
      <c r="A42" s="13" t="s">
        <v>58</v>
      </c>
      <c r="B42" s="13" t="s">
        <v>59</v>
      </c>
      <c r="C42" s="13" t="s">
        <v>60</v>
      </c>
      <c r="D42" s="14" t="s">
        <v>61</v>
      </c>
      <c r="E42" s="26">
        <f t="shared" si="9"/>
        <v>17383700</v>
      </c>
      <c r="F42" s="26">
        <f>16137100+24600+1222000</f>
        <v>17383700</v>
      </c>
      <c r="G42" s="26">
        <f>14059300+1222000</f>
        <v>15281300</v>
      </c>
      <c r="H42" s="26">
        <v>434100</v>
      </c>
      <c r="I42" s="26">
        <v>0</v>
      </c>
      <c r="J42" s="26">
        <f t="shared" si="7"/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f t="shared" si="8"/>
        <v>17383700</v>
      </c>
    </row>
    <row r="43" spans="1:16" ht="31.2" x14ac:dyDescent="0.3">
      <c r="A43" s="22" t="s">
        <v>365</v>
      </c>
      <c r="B43" s="20">
        <v>8220</v>
      </c>
      <c r="C43" s="13" t="s">
        <v>60</v>
      </c>
      <c r="D43" s="14" t="s">
        <v>366</v>
      </c>
      <c r="E43" s="26">
        <f t="shared" si="9"/>
        <v>1385000</v>
      </c>
      <c r="F43" s="26">
        <v>1385000</v>
      </c>
      <c r="G43" s="26"/>
      <c r="H43" s="26"/>
      <c r="I43" s="26"/>
      <c r="J43" s="26"/>
      <c r="K43" s="26"/>
      <c r="L43" s="26"/>
      <c r="M43" s="26"/>
      <c r="N43" s="26"/>
      <c r="O43" s="26"/>
      <c r="P43" s="26">
        <f t="shared" si="8"/>
        <v>1385000</v>
      </c>
    </row>
    <row r="44" spans="1:16" ht="31.2" x14ac:dyDescent="0.3">
      <c r="A44" s="13" t="s">
        <v>62</v>
      </c>
      <c r="B44" s="13" t="s">
        <v>63</v>
      </c>
      <c r="C44" s="13" t="s">
        <v>60</v>
      </c>
      <c r="D44" s="14" t="s">
        <v>64</v>
      </c>
      <c r="E44" s="26">
        <f t="shared" si="9"/>
        <v>3639700</v>
      </c>
      <c r="F44" s="26">
        <f>1774000+649300+1216400</f>
        <v>3639700</v>
      </c>
      <c r="G44" s="26">
        <v>0</v>
      </c>
      <c r="H44" s="26">
        <v>0</v>
      </c>
      <c r="I44" s="26">
        <v>0</v>
      </c>
      <c r="J44" s="26">
        <f t="shared" si="7"/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f t="shared" si="8"/>
        <v>3639700</v>
      </c>
    </row>
    <row r="45" spans="1:16" ht="31.2" x14ac:dyDescent="0.3">
      <c r="A45" s="22" t="s">
        <v>281</v>
      </c>
      <c r="B45" s="22" t="s">
        <v>282</v>
      </c>
      <c r="C45" s="22" t="s">
        <v>60</v>
      </c>
      <c r="D45" s="14" t="s">
        <v>283</v>
      </c>
      <c r="E45" s="26">
        <f t="shared" si="9"/>
        <v>900000</v>
      </c>
      <c r="F45" s="26">
        <f>1000000-100000</f>
        <v>900000</v>
      </c>
      <c r="G45" s="26"/>
      <c r="H45" s="26"/>
      <c r="I45" s="26"/>
      <c r="J45" s="26"/>
      <c r="K45" s="26"/>
      <c r="L45" s="26"/>
      <c r="M45" s="26"/>
      <c r="N45" s="26"/>
      <c r="O45" s="26"/>
      <c r="P45" s="26">
        <f t="shared" si="8"/>
        <v>900000</v>
      </c>
    </row>
    <row r="46" spans="1:16" ht="31.2" x14ac:dyDescent="0.3">
      <c r="A46" s="13" t="s">
        <v>65</v>
      </c>
      <c r="B46" s="13" t="s">
        <v>66</v>
      </c>
      <c r="C46" s="13" t="s">
        <v>67</v>
      </c>
      <c r="D46" s="14" t="s">
        <v>68</v>
      </c>
      <c r="E46" s="26">
        <f t="shared" si="9"/>
        <v>0</v>
      </c>
      <c r="F46" s="26">
        <v>0</v>
      </c>
      <c r="G46" s="26">
        <v>0</v>
      </c>
      <c r="H46" s="26">
        <v>0</v>
      </c>
      <c r="I46" s="26">
        <v>0</v>
      </c>
      <c r="J46" s="26">
        <f t="shared" si="7"/>
        <v>196000</v>
      </c>
      <c r="K46" s="26">
        <v>0</v>
      </c>
      <c r="L46" s="26">
        <v>196000</v>
      </c>
      <c r="M46" s="26">
        <v>0</v>
      </c>
      <c r="N46" s="26">
        <v>0</v>
      </c>
      <c r="O46" s="26">
        <v>0</v>
      </c>
      <c r="P46" s="26">
        <f t="shared" si="8"/>
        <v>196000</v>
      </c>
    </row>
    <row r="47" spans="1:16" ht="46.8" x14ac:dyDescent="0.3">
      <c r="A47" s="11" t="s">
        <v>69</v>
      </c>
      <c r="B47" s="11" t="s">
        <v>17</v>
      </c>
      <c r="C47" s="11" t="s">
        <v>17</v>
      </c>
      <c r="D47" s="12" t="s">
        <v>380</v>
      </c>
      <c r="E47" s="25">
        <f>F47+I47</f>
        <v>436170282</v>
      </c>
      <c r="F47" s="25">
        <f>F48</f>
        <v>436170282</v>
      </c>
      <c r="G47" s="25">
        <f>G48</f>
        <v>340453662</v>
      </c>
      <c r="H47" s="25">
        <f>H48</f>
        <v>50944810</v>
      </c>
      <c r="I47" s="25">
        <f>I48</f>
        <v>0</v>
      </c>
      <c r="J47" s="25">
        <f>L47+O47</f>
        <v>6806596</v>
      </c>
      <c r="K47" s="25">
        <f>K48</f>
        <v>1486596</v>
      </c>
      <c r="L47" s="25">
        <f>L48</f>
        <v>5320000</v>
      </c>
      <c r="M47" s="25">
        <f>M48</f>
        <v>0</v>
      </c>
      <c r="N47" s="25">
        <f>N48</f>
        <v>0</v>
      </c>
      <c r="O47" s="25">
        <f>O48</f>
        <v>1486596</v>
      </c>
      <c r="P47" s="25">
        <f>E47+J47</f>
        <v>442976878</v>
      </c>
    </row>
    <row r="48" spans="1:16" ht="46.8" x14ac:dyDescent="0.3">
      <c r="A48" s="11" t="s">
        <v>70</v>
      </c>
      <c r="B48" s="11" t="s">
        <v>17</v>
      </c>
      <c r="C48" s="11" t="s">
        <v>17</v>
      </c>
      <c r="D48" s="12" t="s">
        <v>380</v>
      </c>
      <c r="E48" s="25">
        <f>F48+I48</f>
        <v>436170282</v>
      </c>
      <c r="F48" s="25">
        <f>F49+F50+F51+F52+F53+F54+F55+F56+F57+F58+F59+F60+F61+F62+F66+F67+F68+F69+F70</f>
        <v>436170282</v>
      </c>
      <c r="G48" s="25">
        <f t="shared" ref="G48:I48" si="10">G49+G50+G51+G52+G53+G54+G55+G56+G57+G58+G59+G60+G61+G62+G66+G67+G68+G69+G70</f>
        <v>340453662</v>
      </c>
      <c r="H48" s="25">
        <f t="shared" si="10"/>
        <v>50944810</v>
      </c>
      <c r="I48" s="25">
        <f t="shared" si="10"/>
        <v>0</v>
      </c>
      <c r="J48" s="25">
        <f>L48+O48</f>
        <v>6806596</v>
      </c>
      <c r="K48" s="25">
        <f>K49+K50+K51+K52+K53+K54+K55+K56+K57+K58+K59+K60+K61+K62+K66+K67+K68+K69+K70</f>
        <v>1486596</v>
      </c>
      <c r="L48" s="25">
        <f t="shared" ref="L48:O48" si="11">L49+L50+L51+L52+L53+L54+L55+L56+L57+L58+L59+L60+L61+L62+L66+L67+L68+L69+L70</f>
        <v>5320000</v>
      </c>
      <c r="M48" s="25">
        <f t="shared" si="11"/>
        <v>0</v>
      </c>
      <c r="N48" s="25">
        <f t="shared" si="11"/>
        <v>0</v>
      </c>
      <c r="O48" s="25">
        <f t="shared" si="11"/>
        <v>1486596</v>
      </c>
      <c r="P48" s="25">
        <f>E48+J48</f>
        <v>442976878</v>
      </c>
    </row>
    <row r="49" spans="1:16" ht="64.2" customHeight="1" x14ac:dyDescent="0.3">
      <c r="A49" s="13" t="s">
        <v>71</v>
      </c>
      <c r="B49" s="13" t="s">
        <v>72</v>
      </c>
      <c r="C49" s="13" t="s">
        <v>22</v>
      </c>
      <c r="D49" s="14" t="s">
        <v>73</v>
      </c>
      <c r="E49" s="26">
        <f>F49+I49</f>
        <v>3815600</v>
      </c>
      <c r="F49" s="26">
        <f>3778800+3300+33500</f>
        <v>3815600</v>
      </c>
      <c r="G49" s="26">
        <f>3302500+33500</f>
        <v>3336000</v>
      </c>
      <c r="H49" s="26">
        <v>423800</v>
      </c>
      <c r="I49" s="26">
        <v>0</v>
      </c>
      <c r="J49" s="26">
        <f>L49+O49</f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f>E49+J49</f>
        <v>3815600</v>
      </c>
    </row>
    <row r="50" spans="1:16" ht="31.2" x14ac:dyDescent="0.3">
      <c r="A50" s="13" t="s">
        <v>74</v>
      </c>
      <c r="B50" s="13" t="s">
        <v>28</v>
      </c>
      <c r="C50" s="13" t="s">
        <v>29</v>
      </c>
      <c r="D50" s="14" t="s">
        <v>30</v>
      </c>
      <c r="E50" s="26">
        <f t="shared" ref="E50:E70" si="12">F50+I50</f>
        <v>135469</v>
      </c>
      <c r="F50" s="26">
        <f>99000+36469</f>
        <v>135469</v>
      </c>
      <c r="G50" s="26">
        <v>0</v>
      </c>
      <c r="H50" s="26">
        <v>0</v>
      </c>
      <c r="I50" s="26">
        <v>0</v>
      </c>
      <c r="J50" s="26">
        <f t="shared" ref="J50:J68" si="13">L50+O50</f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f t="shared" ref="P50:P70" si="14">E50+J50</f>
        <v>135469</v>
      </c>
    </row>
    <row r="51" spans="1:16" x14ac:dyDescent="0.3">
      <c r="A51" s="13" t="s">
        <v>75</v>
      </c>
      <c r="B51" s="13" t="s">
        <v>76</v>
      </c>
      <c r="C51" s="13" t="s">
        <v>77</v>
      </c>
      <c r="D51" s="14" t="s">
        <v>78</v>
      </c>
      <c r="E51" s="26">
        <f t="shared" si="12"/>
        <v>136116221</v>
      </c>
      <c r="F51" s="26">
        <f>140661800-2584210-1961369</f>
        <v>136116221</v>
      </c>
      <c r="G51" s="26">
        <f>111183400-3611200</f>
        <v>107572200</v>
      </c>
      <c r="H51" s="26">
        <v>20936600</v>
      </c>
      <c r="I51" s="26">
        <v>0</v>
      </c>
      <c r="J51" s="26">
        <f t="shared" si="13"/>
        <v>5200000</v>
      </c>
      <c r="K51" s="26">
        <v>0</v>
      </c>
      <c r="L51" s="26">
        <v>5200000</v>
      </c>
      <c r="M51" s="26">
        <v>0</v>
      </c>
      <c r="N51" s="26">
        <v>0</v>
      </c>
      <c r="O51" s="26">
        <v>0</v>
      </c>
      <c r="P51" s="26">
        <f t="shared" si="14"/>
        <v>141316221</v>
      </c>
    </row>
    <row r="52" spans="1:16" ht="46.8" x14ac:dyDescent="0.3">
      <c r="A52" s="13" t="s">
        <v>79</v>
      </c>
      <c r="B52" s="13" t="s">
        <v>80</v>
      </c>
      <c r="C52" s="13" t="s">
        <v>81</v>
      </c>
      <c r="D52" s="14" t="s">
        <v>288</v>
      </c>
      <c r="E52" s="26">
        <f t="shared" si="12"/>
        <v>88201230</v>
      </c>
      <c r="F52" s="26">
        <f>78979700+12259000-5770000+854880+1877650</f>
        <v>88201230</v>
      </c>
      <c r="G52" s="26">
        <f>39129100+12259000</f>
        <v>51388100</v>
      </c>
      <c r="H52" s="26">
        <v>23132400</v>
      </c>
      <c r="I52" s="26">
        <v>0</v>
      </c>
      <c r="J52" s="26">
        <f t="shared" si="13"/>
        <v>1494095</v>
      </c>
      <c r="K52" s="26">
        <v>1486596</v>
      </c>
      <c r="L52" s="26">
        <v>7499</v>
      </c>
      <c r="M52" s="26">
        <v>0</v>
      </c>
      <c r="N52" s="26">
        <v>0</v>
      </c>
      <c r="O52" s="26">
        <v>1486596</v>
      </c>
      <c r="P52" s="26">
        <f t="shared" si="14"/>
        <v>89695325</v>
      </c>
    </row>
    <row r="53" spans="1:16" ht="93.6" x14ac:dyDescent="0.3">
      <c r="A53" s="13" t="s">
        <v>82</v>
      </c>
      <c r="B53" s="13" t="s">
        <v>83</v>
      </c>
      <c r="C53" s="13" t="s">
        <v>84</v>
      </c>
      <c r="D53" s="14" t="s">
        <v>289</v>
      </c>
      <c r="E53" s="26">
        <f t="shared" si="12"/>
        <v>6797600</v>
      </c>
      <c r="F53" s="26">
        <f>5642100+1131700+23800</f>
        <v>6797600</v>
      </c>
      <c r="G53" s="26">
        <f>2967400+1131700</f>
        <v>4099100</v>
      </c>
      <c r="H53" s="26">
        <v>1441800</v>
      </c>
      <c r="I53" s="26">
        <v>0</v>
      </c>
      <c r="J53" s="26">
        <f t="shared" si="13"/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f t="shared" si="14"/>
        <v>6797600</v>
      </c>
    </row>
    <row r="54" spans="1:16" ht="49.95" customHeight="1" x14ac:dyDescent="0.3">
      <c r="A54" s="13" t="s">
        <v>85</v>
      </c>
      <c r="B54" s="13" t="s">
        <v>86</v>
      </c>
      <c r="C54" s="13" t="s">
        <v>81</v>
      </c>
      <c r="D54" s="14" t="s">
        <v>290</v>
      </c>
      <c r="E54" s="26">
        <f t="shared" si="12"/>
        <v>117414500</v>
      </c>
      <c r="F54" s="26">
        <f>117393900+20600</f>
        <v>117414500</v>
      </c>
      <c r="G54" s="26">
        <f>117393900+20600</f>
        <v>117414500</v>
      </c>
      <c r="H54" s="26">
        <v>0</v>
      </c>
      <c r="I54" s="26">
        <v>0</v>
      </c>
      <c r="J54" s="26">
        <f t="shared" si="13"/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f t="shared" si="14"/>
        <v>117414500</v>
      </c>
    </row>
    <row r="55" spans="1:16" ht="93.6" x14ac:dyDescent="0.3">
      <c r="A55" s="13" t="s">
        <v>87</v>
      </c>
      <c r="B55" s="13" t="s">
        <v>88</v>
      </c>
      <c r="C55" s="13" t="s">
        <v>84</v>
      </c>
      <c r="D55" s="14" t="s">
        <v>291</v>
      </c>
      <c r="E55" s="26">
        <f t="shared" si="12"/>
        <v>9500000</v>
      </c>
      <c r="F55" s="26">
        <v>9500000</v>
      </c>
      <c r="G55" s="26">
        <v>9500000</v>
      </c>
      <c r="H55" s="26">
        <v>0</v>
      </c>
      <c r="I55" s="26">
        <v>0</v>
      </c>
      <c r="J55" s="26">
        <f t="shared" si="13"/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f t="shared" si="14"/>
        <v>9500000</v>
      </c>
    </row>
    <row r="56" spans="1:16" ht="46.8" x14ac:dyDescent="0.3">
      <c r="A56" s="13" t="s">
        <v>89</v>
      </c>
      <c r="B56" s="13" t="s">
        <v>90</v>
      </c>
      <c r="C56" s="13" t="s">
        <v>91</v>
      </c>
      <c r="D56" s="14" t="s">
        <v>92</v>
      </c>
      <c r="E56" s="26">
        <f t="shared" si="12"/>
        <v>23480750</v>
      </c>
      <c r="F56" s="26">
        <f>22745700+368000+319800+47250</f>
        <v>23480750</v>
      </c>
      <c r="G56" s="26">
        <f>18051000+368000</f>
        <v>18419000</v>
      </c>
      <c r="H56" s="26">
        <v>2232900</v>
      </c>
      <c r="I56" s="26">
        <v>0</v>
      </c>
      <c r="J56" s="26">
        <f t="shared" si="13"/>
        <v>112500</v>
      </c>
      <c r="K56" s="26">
        <v>0</v>
      </c>
      <c r="L56" s="26">
        <v>112500</v>
      </c>
      <c r="M56" s="26">
        <v>0</v>
      </c>
      <c r="N56" s="26">
        <v>0</v>
      </c>
      <c r="O56" s="26">
        <v>0</v>
      </c>
      <c r="P56" s="26">
        <f t="shared" si="14"/>
        <v>23593250</v>
      </c>
    </row>
    <row r="57" spans="1:16" ht="46.8" x14ac:dyDescent="0.3">
      <c r="A57" s="13" t="s">
        <v>93</v>
      </c>
      <c r="B57" s="13" t="s">
        <v>94</v>
      </c>
      <c r="C57" s="13" t="s">
        <v>95</v>
      </c>
      <c r="D57" s="14" t="s">
        <v>96</v>
      </c>
      <c r="E57" s="26">
        <f t="shared" si="12"/>
        <v>30000</v>
      </c>
      <c r="F57" s="26">
        <v>30000</v>
      </c>
      <c r="G57" s="26">
        <v>0</v>
      </c>
      <c r="H57" s="26">
        <v>0</v>
      </c>
      <c r="I57" s="26">
        <v>0</v>
      </c>
      <c r="J57" s="26">
        <f t="shared" si="13"/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f t="shared" si="14"/>
        <v>30000</v>
      </c>
    </row>
    <row r="58" spans="1:16" ht="31.2" x14ac:dyDescent="0.3">
      <c r="A58" s="13" t="s">
        <v>98</v>
      </c>
      <c r="B58" s="13" t="s">
        <v>99</v>
      </c>
      <c r="C58" s="13" t="s">
        <v>97</v>
      </c>
      <c r="D58" s="14" t="s">
        <v>100</v>
      </c>
      <c r="E58" s="26">
        <f t="shared" si="12"/>
        <v>18515360</v>
      </c>
      <c r="F58" s="26">
        <f>14567200+1564200+521100+171010+350000+300000+1041850</f>
        <v>18515360</v>
      </c>
      <c r="G58" s="26">
        <f>13136200+1564200</f>
        <v>14700400</v>
      </c>
      <c r="H58" s="26">
        <f>696000+521100+171010</f>
        <v>1388110</v>
      </c>
      <c r="I58" s="26">
        <v>0</v>
      </c>
      <c r="J58" s="26">
        <f t="shared" si="13"/>
        <v>1</v>
      </c>
      <c r="K58" s="26">
        <v>0</v>
      </c>
      <c r="L58" s="26">
        <v>1</v>
      </c>
      <c r="M58" s="26">
        <v>0</v>
      </c>
      <c r="N58" s="26">
        <v>0</v>
      </c>
      <c r="O58" s="26">
        <v>0</v>
      </c>
      <c r="P58" s="26">
        <f t="shared" si="14"/>
        <v>18515361</v>
      </c>
    </row>
    <row r="59" spans="1:16" ht="46.2" customHeight="1" x14ac:dyDescent="0.3">
      <c r="A59" s="13" t="s">
        <v>101</v>
      </c>
      <c r="B59" s="13" t="s">
        <v>102</v>
      </c>
      <c r="C59" s="13" t="s">
        <v>97</v>
      </c>
      <c r="D59" s="14" t="s">
        <v>103</v>
      </c>
      <c r="E59" s="26">
        <f t="shared" si="12"/>
        <v>756900</v>
      </c>
      <c r="F59" s="26">
        <f>735300+21600</f>
        <v>756900</v>
      </c>
      <c r="G59" s="26">
        <v>274800</v>
      </c>
      <c r="H59" s="26">
        <v>261500</v>
      </c>
      <c r="I59" s="26">
        <v>0</v>
      </c>
      <c r="J59" s="26">
        <f t="shared" si="13"/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f t="shared" si="14"/>
        <v>756900</v>
      </c>
    </row>
    <row r="60" spans="1:16" ht="46.8" x14ac:dyDescent="0.3">
      <c r="A60" s="13" t="s">
        <v>104</v>
      </c>
      <c r="B60" s="13" t="s">
        <v>105</v>
      </c>
      <c r="C60" s="13" t="s">
        <v>97</v>
      </c>
      <c r="D60" s="14" t="s">
        <v>106</v>
      </c>
      <c r="E60" s="26">
        <f t="shared" si="12"/>
        <v>1132828</v>
      </c>
      <c r="F60" s="26">
        <v>1132828</v>
      </c>
      <c r="G60" s="26">
        <v>1132828</v>
      </c>
      <c r="H60" s="26">
        <v>0</v>
      </c>
      <c r="I60" s="26">
        <v>0</v>
      </c>
      <c r="J60" s="26">
        <f t="shared" si="13"/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f t="shared" si="14"/>
        <v>1132828</v>
      </c>
    </row>
    <row r="61" spans="1:16" ht="46.8" x14ac:dyDescent="0.3">
      <c r="A61" s="22" t="s">
        <v>304</v>
      </c>
      <c r="B61" s="22">
        <v>1160</v>
      </c>
      <c r="C61" s="13" t="s">
        <v>97</v>
      </c>
      <c r="D61" s="14" t="s">
        <v>305</v>
      </c>
      <c r="E61" s="26">
        <f t="shared" ref="E61:E62" si="15">F61+I61</f>
        <v>3832400</v>
      </c>
      <c r="F61" s="26">
        <f>3810500+21900</f>
        <v>3832400</v>
      </c>
      <c r="G61" s="26">
        <v>3452400</v>
      </c>
      <c r="H61" s="26">
        <v>53100</v>
      </c>
      <c r="I61" s="26">
        <v>0</v>
      </c>
      <c r="J61" s="26">
        <f t="shared" ref="J61" si="16">L61+O61</f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f t="shared" ref="P61:P65" si="17">E61+J61</f>
        <v>3832400</v>
      </c>
    </row>
    <row r="62" spans="1:16" ht="78" x14ac:dyDescent="0.3">
      <c r="A62" s="22" t="s">
        <v>367</v>
      </c>
      <c r="B62" s="22" t="s">
        <v>368</v>
      </c>
      <c r="C62" s="13" t="s">
        <v>97</v>
      </c>
      <c r="D62" s="14" t="s">
        <v>369</v>
      </c>
      <c r="E62" s="26">
        <f t="shared" si="15"/>
        <v>160734</v>
      </c>
      <c r="F62" s="26">
        <f>F64+F65</f>
        <v>160734</v>
      </c>
      <c r="G62" s="26">
        <f t="shared" ref="G62:I62" si="18">G64+G65</f>
        <v>160734</v>
      </c>
      <c r="H62" s="26">
        <f t="shared" si="18"/>
        <v>0</v>
      </c>
      <c r="I62" s="26">
        <f t="shared" si="18"/>
        <v>0</v>
      </c>
      <c r="J62" s="26"/>
      <c r="K62" s="26"/>
      <c r="L62" s="26"/>
      <c r="M62" s="26"/>
      <c r="N62" s="26"/>
      <c r="O62" s="26"/>
      <c r="P62" s="26">
        <f t="shared" si="17"/>
        <v>160734</v>
      </c>
    </row>
    <row r="63" spans="1:16" x14ac:dyDescent="0.3">
      <c r="A63" s="22"/>
      <c r="B63" s="22"/>
      <c r="C63" s="13"/>
      <c r="D63" s="33" t="s">
        <v>370</v>
      </c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>
        <f t="shared" si="17"/>
        <v>0</v>
      </c>
    </row>
    <row r="64" spans="1:16" ht="78" x14ac:dyDescent="0.3">
      <c r="A64" s="22"/>
      <c r="B64" s="22"/>
      <c r="C64" s="13"/>
      <c r="D64" s="34" t="s">
        <v>371</v>
      </c>
      <c r="E64" s="27">
        <f t="shared" si="12"/>
        <v>63546</v>
      </c>
      <c r="F64" s="35">
        <v>63546</v>
      </c>
      <c r="G64" s="35">
        <v>63546</v>
      </c>
      <c r="H64" s="26"/>
      <c r="I64" s="26"/>
      <c r="J64" s="26"/>
      <c r="K64" s="26"/>
      <c r="L64" s="26"/>
      <c r="M64" s="26"/>
      <c r="N64" s="26"/>
      <c r="O64" s="26"/>
      <c r="P64" s="27">
        <f t="shared" si="17"/>
        <v>63546</v>
      </c>
    </row>
    <row r="65" spans="1:16" ht="78" x14ac:dyDescent="0.3">
      <c r="A65" s="22"/>
      <c r="B65" s="22"/>
      <c r="C65" s="13"/>
      <c r="D65" s="34" t="s">
        <v>372</v>
      </c>
      <c r="E65" s="27">
        <f t="shared" si="12"/>
        <v>97188</v>
      </c>
      <c r="F65" s="35">
        <v>97188</v>
      </c>
      <c r="G65" s="35">
        <v>97188</v>
      </c>
      <c r="H65" s="26"/>
      <c r="I65" s="26"/>
      <c r="J65" s="26"/>
      <c r="K65" s="26"/>
      <c r="L65" s="26"/>
      <c r="M65" s="26"/>
      <c r="N65" s="26"/>
      <c r="O65" s="26"/>
      <c r="P65" s="27">
        <f t="shared" si="17"/>
        <v>97188</v>
      </c>
    </row>
    <row r="66" spans="1:16" ht="93.6" x14ac:dyDescent="0.3">
      <c r="A66" s="13" t="s">
        <v>107</v>
      </c>
      <c r="B66" s="13" t="s">
        <v>108</v>
      </c>
      <c r="C66" s="13" t="s">
        <v>44</v>
      </c>
      <c r="D66" s="14" t="s">
        <v>109</v>
      </c>
      <c r="E66" s="26">
        <f t="shared" si="12"/>
        <v>2283800</v>
      </c>
      <c r="F66" s="26">
        <v>2283800</v>
      </c>
      <c r="G66" s="26">
        <v>0</v>
      </c>
      <c r="H66" s="26">
        <v>0</v>
      </c>
      <c r="I66" s="26">
        <v>0</v>
      </c>
      <c r="J66" s="26">
        <f t="shared" si="13"/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f t="shared" si="14"/>
        <v>2283800</v>
      </c>
    </row>
    <row r="67" spans="1:16" ht="31.2" x14ac:dyDescent="0.3">
      <c r="A67" s="13" t="s">
        <v>110</v>
      </c>
      <c r="B67" s="13" t="s">
        <v>47</v>
      </c>
      <c r="C67" s="13" t="s">
        <v>48</v>
      </c>
      <c r="D67" s="14" t="s">
        <v>49</v>
      </c>
      <c r="E67" s="26">
        <f t="shared" si="12"/>
        <v>9300200</v>
      </c>
      <c r="F67" s="26">
        <f>3500200+5770000+30000</f>
        <v>9300200</v>
      </c>
      <c r="G67" s="26">
        <v>0</v>
      </c>
      <c r="H67" s="26">
        <v>0</v>
      </c>
      <c r="I67" s="26">
        <v>0</v>
      </c>
      <c r="J67" s="26">
        <f t="shared" si="13"/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f t="shared" si="14"/>
        <v>9300200</v>
      </c>
    </row>
    <row r="68" spans="1:16" ht="46.8" x14ac:dyDescent="0.3">
      <c r="A68" s="13" t="s">
        <v>111</v>
      </c>
      <c r="B68" s="13" t="s">
        <v>112</v>
      </c>
      <c r="C68" s="13" t="s">
        <v>113</v>
      </c>
      <c r="D68" s="14" t="s">
        <v>114</v>
      </c>
      <c r="E68" s="26">
        <f t="shared" si="12"/>
        <v>11070480</v>
      </c>
      <c r="F68" s="26">
        <f>10965800+104680</f>
        <v>11070480</v>
      </c>
      <c r="G68" s="26">
        <v>9003600</v>
      </c>
      <c r="H68" s="26">
        <v>1074600</v>
      </c>
      <c r="I68" s="26">
        <v>0</v>
      </c>
      <c r="J68" s="26">
        <f t="shared" si="13"/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f t="shared" si="14"/>
        <v>11070480</v>
      </c>
    </row>
    <row r="69" spans="1:16" ht="46.8" x14ac:dyDescent="0.3">
      <c r="A69" s="22" t="s">
        <v>306</v>
      </c>
      <c r="B69" s="22">
        <v>8110</v>
      </c>
      <c r="C69" s="22" t="s">
        <v>279</v>
      </c>
      <c r="D69" s="14" t="s">
        <v>280</v>
      </c>
      <c r="E69" s="26">
        <f t="shared" si="12"/>
        <v>3529210</v>
      </c>
      <c r="F69" s="26">
        <f>3767310-300000+61900</f>
        <v>3529210</v>
      </c>
      <c r="G69" s="26"/>
      <c r="H69" s="26"/>
      <c r="I69" s="26"/>
      <c r="J69" s="26"/>
      <c r="K69" s="26"/>
      <c r="L69" s="26"/>
      <c r="M69" s="26"/>
      <c r="N69" s="26"/>
      <c r="O69" s="26"/>
      <c r="P69" s="26">
        <f t="shared" si="14"/>
        <v>3529210</v>
      </c>
    </row>
    <row r="70" spans="1:16" ht="31.2" x14ac:dyDescent="0.3">
      <c r="A70" s="22" t="s">
        <v>373</v>
      </c>
      <c r="B70" s="22" t="s">
        <v>282</v>
      </c>
      <c r="C70" s="22" t="s">
        <v>60</v>
      </c>
      <c r="D70" s="14" t="s">
        <v>283</v>
      </c>
      <c r="E70" s="26">
        <f t="shared" si="12"/>
        <v>97000</v>
      </c>
      <c r="F70" s="26">
        <v>97000</v>
      </c>
      <c r="G70" s="26"/>
      <c r="H70" s="26"/>
      <c r="I70" s="26"/>
      <c r="J70" s="26"/>
      <c r="K70" s="26"/>
      <c r="L70" s="26"/>
      <c r="M70" s="26"/>
      <c r="N70" s="26"/>
      <c r="O70" s="26"/>
      <c r="P70" s="26">
        <f t="shared" si="14"/>
        <v>97000</v>
      </c>
    </row>
    <row r="71" spans="1:16" ht="46.8" x14ac:dyDescent="0.3">
      <c r="A71" s="11" t="s">
        <v>115</v>
      </c>
      <c r="B71" s="11" t="s">
        <v>17</v>
      </c>
      <c r="C71" s="11" t="s">
        <v>17</v>
      </c>
      <c r="D71" s="12" t="s">
        <v>116</v>
      </c>
      <c r="E71" s="25">
        <f>F71+I71</f>
        <v>79643080.140000001</v>
      </c>
      <c r="F71" s="25">
        <f>F72</f>
        <v>79643080.140000001</v>
      </c>
      <c r="G71" s="25">
        <f>G72</f>
        <v>32802604.140000001</v>
      </c>
      <c r="H71" s="25">
        <f>H72</f>
        <v>1325900</v>
      </c>
      <c r="I71" s="25">
        <f>I72</f>
        <v>0</v>
      </c>
      <c r="J71" s="25">
        <f>L71+O71</f>
        <v>1628900</v>
      </c>
      <c r="K71" s="25">
        <f>K72</f>
        <v>1572500</v>
      </c>
      <c r="L71" s="25">
        <f>L72</f>
        <v>0</v>
      </c>
      <c r="M71" s="25">
        <f>M72</f>
        <v>0</v>
      </c>
      <c r="N71" s="25">
        <f>N72</f>
        <v>0</v>
      </c>
      <c r="O71" s="25">
        <f>O72</f>
        <v>1628900</v>
      </c>
      <c r="P71" s="25">
        <f>E71+J71</f>
        <v>81271980.140000001</v>
      </c>
    </row>
    <row r="72" spans="1:16" ht="46.8" x14ac:dyDescent="0.3">
      <c r="A72" s="11" t="s">
        <v>117</v>
      </c>
      <c r="B72" s="11" t="s">
        <v>17</v>
      </c>
      <c r="C72" s="11" t="s">
        <v>17</v>
      </c>
      <c r="D72" s="12" t="s">
        <v>116</v>
      </c>
      <c r="E72" s="25">
        <f>F72+I72</f>
        <v>79643080.140000001</v>
      </c>
      <c r="F72" s="25">
        <f>F73+F74+F75+F76+F77+F78+F79+F80+F81+F82+F83+F84+F85+F86+F88+F87+F89+F90</f>
        <v>79643080.140000001</v>
      </c>
      <c r="G72" s="25">
        <f t="shared" ref="G72:K72" si="19">G73+G74+G75+G76+G77+G78+G79+G80+G81+G82+G83+G84+G85+G86+G88+G87+G89+G90</f>
        <v>32802604.140000001</v>
      </c>
      <c r="H72" s="25">
        <f t="shared" si="19"/>
        <v>1325900</v>
      </c>
      <c r="I72" s="25">
        <f t="shared" si="19"/>
        <v>0</v>
      </c>
      <c r="J72" s="25">
        <f>J73+J74+J75+J76+J77+J78+J79+J80+J81+J82+J83+J84+J85+J86+J88+J87+J89+J90</f>
        <v>1628900</v>
      </c>
      <c r="K72" s="25">
        <f t="shared" si="19"/>
        <v>1572500</v>
      </c>
      <c r="L72" s="25">
        <f t="shared" ref="L72" si="20">L73+L74+L75+L76+L77+L78+L79+L80+L81+L82+L83+L84+L85+L86+L88+L87+L89+L90</f>
        <v>0</v>
      </c>
      <c r="M72" s="25">
        <f t="shared" ref="M72" si="21">M73+M74+M75+M76+M77+M78+M79+M80+M81+M82+M83+M84+M85+M86+M88+M87+M89+M90</f>
        <v>0</v>
      </c>
      <c r="N72" s="25">
        <f t="shared" ref="N72" si="22">N73+N74+N75+N76+N77+N78+N79+N80+N81+N82+N83+N84+N85+N86+N88+N87+N89+N90</f>
        <v>0</v>
      </c>
      <c r="O72" s="25">
        <f t="shared" ref="O72" si="23">O73+O74+O75+O76+O77+O78+O79+O80+O81+O82+O83+O84+O85+O86+O88+O87+O89+O90</f>
        <v>1628900</v>
      </c>
      <c r="P72" s="25">
        <f>E72+J72</f>
        <v>81271980.140000001</v>
      </c>
    </row>
    <row r="73" spans="1:16" ht="64.2" customHeight="1" x14ac:dyDescent="0.3">
      <c r="A73" s="13" t="s">
        <v>118</v>
      </c>
      <c r="B73" s="13" t="s">
        <v>72</v>
      </c>
      <c r="C73" s="13" t="s">
        <v>22</v>
      </c>
      <c r="D73" s="14" t="s">
        <v>73</v>
      </c>
      <c r="E73" s="26">
        <f>F73+I73</f>
        <v>13691200</v>
      </c>
      <c r="F73" s="26">
        <v>13691200</v>
      </c>
      <c r="G73" s="26">
        <v>12377200</v>
      </c>
      <c r="H73" s="26">
        <v>786300</v>
      </c>
      <c r="I73" s="26">
        <v>0</v>
      </c>
      <c r="J73" s="26">
        <f>L73+O73</f>
        <v>400000</v>
      </c>
      <c r="K73" s="26">
        <v>400000</v>
      </c>
      <c r="L73" s="26">
        <v>0</v>
      </c>
      <c r="M73" s="26">
        <v>0</v>
      </c>
      <c r="N73" s="26">
        <v>0</v>
      </c>
      <c r="O73" s="26">
        <v>400000</v>
      </c>
      <c r="P73" s="26">
        <f>E73+J73</f>
        <v>14091200</v>
      </c>
    </row>
    <row r="74" spans="1:16" ht="31.2" x14ac:dyDescent="0.3">
      <c r="A74" s="13" t="s">
        <v>119</v>
      </c>
      <c r="B74" s="13" t="s">
        <v>28</v>
      </c>
      <c r="C74" s="13" t="s">
        <v>29</v>
      </c>
      <c r="D74" s="14" t="s">
        <v>30</v>
      </c>
      <c r="E74" s="26">
        <f t="shared" ref="E74:E90" si="24">F74+I74</f>
        <v>349000</v>
      </c>
      <c r="F74" s="26">
        <f>250000+99000</f>
        <v>349000</v>
      </c>
      <c r="G74" s="26">
        <v>0</v>
      </c>
      <c r="H74" s="26">
        <v>0</v>
      </c>
      <c r="I74" s="26">
        <v>0</v>
      </c>
      <c r="J74" s="26">
        <f t="shared" ref="J74:J90" si="25">L74+O74</f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f t="shared" ref="P74:P88" si="26">E74+J74</f>
        <v>349000</v>
      </c>
    </row>
    <row r="75" spans="1:16" ht="46.8" x14ac:dyDescent="0.3">
      <c r="A75" s="13" t="s">
        <v>120</v>
      </c>
      <c r="B75" s="13" t="s">
        <v>121</v>
      </c>
      <c r="C75" s="13" t="s">
        <v>122</v>
      </c>
      <c r="D75" s="14" t="s">
        <v>123</v>
      </c>
      <c r="E75" s="26">
        <f t="shared" si="24"/>
        <v>586000</v>
      </c>
      <c r="F75" s="26">
        <v>586000</v>
      </c>
      <c r="G75" s="26">
        <v>0</v>
      </c>
      <c r="H75" s="26">
        <v>0</v>
      </c>
      <c r="I75" s="26">
        <v>0</v>
      </c>
      <c r="J75" s="26">
        <f t="shared" si="25"/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f t="shared" si="26"/>
        <v>586000</v>
      </c>
    </row>
    <row r="76" spans="1:16" ht="31.2" x14ac:dyDescent="0.3">
      <c r="A76" s="13" t="s">
        <v>124</v>
      </c>
      <c r="B76" s="13" t="s">
        <v>125</v>
      </c>
      <c r="C76" s="13" t="s">
        <v>90</v>
      </c>
      <c r="D76" s="14" t="s">
        <v>292</v>
      </c>
      <c r="E76" s="26">
        <f t="shared" si="24"/>
        <v>20000</v>
      </c>
      <c r="F76" s="26">
        <v>20000</v>
      </c>
      <c r="G76" s="26">
        <v>0</v>
      </c>
      <c r="H76" s="26">
        <v>0</v>
      </c>
      <c r="I76" s="26">
        <v>0</v>
      </c>
      <c r="J76" s="26">
        <f t="shared" si="25"/>
        <v>0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f t="shared" si="26"/>
        <v>20000</v>
      </c>
    </row>
    <row r="77" spans="1:16" ht="46.8" x14ac:dyDescent="0.3">
      <c r="A77" s="13" t="s">
        <v>126</v>
      </c>
      <c r="B77" s="13" t="s">
        <v>127</v>
      </c>
      <c r="C77" s="13" t="s">
        <v>90</v>
      </c>
      <c r="D77" s="14" t="s">
        <v>128</v>
      </c>
      <c r="E77" s="26">
        <f t="shared" si="24"/>
        <v>331980</v>
      </c>
      <c r="F77" s="26">
        <v>331980</v>
      </c>
      <c r="G77" s="26">
        <v>0</v>
      </c>
      <c r="H77" s="26">
        <v>0</v>
      </c>
      <c r="I77" s="26">
        <v>0</v>
      </c>
      <c r="J77" s="26">
        <f t="shared" si="25"/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f t="shared" si="26"/>
        <v>331980</v>
      </c>
    </row>
    <row r="78" spans="1:16" ht="46.8" x14ac:dyDescent="0.3">
      <c r="A78" s="13" t="s">
        <v>129</v>
      </c>
      <c r="B78" s="13" t="s">
        <v>130</v>
      </c>
      <c r="C78" s="13" t="s">
        <v>122</v>
      </c>
      <c r="D78" s="14" t="s">
        <v>131</v>
      </c>
      <c r="E78" s="26">
        <f t="shared" si="24"/>
        <v>224455</v>
      </c>
      <c r="F78" s="26">
        <v>224455</v>
      </c>
      <c r="G78" s="26">
        <v>0</v>
      </c>
      <c r="H78" s="26">
        <v>0</v>
      </c>
      <c r="I78" s="26">
        <v>0</v>
      </c>
      <c r="J78" s="26">
        <f t="shared" si="25"/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f t="shared" si="26"/>
        <v>224455</v>
      </c>
    </row>
    <row r="79" spans="1:16" ht="78" x14ac:dyDescent="0.3">
      <c r="A79" s="13" t="s">
        <v>132</v>
      </c>
      <c r="B79" s="13" t="s">
        <v>133</v>
      </c>
      <c r="C79" s="13" t="s">
        <v>134</v>
      </c>
      <c r="D79" s="14" t="s">
        <v>293</v>
      </c>
      <c r="E79" s="26">
        <f t="shared" si="24"/>
        <v>15604304.140000001</v>
      </c>
      <c r="F79" s="26">
        <f>14609500+948600+46204.14</f>
        <v>15604304.140000001</v>
      </c>
      <c r="G79" s="26">
        <f>13655200+948600+46204.14</f>
        <v>14650004.140000001</v>
      </c>
      <c r="H79" s="26">
        <f>224800</f>
        <v>224800</v>
      </c>
      <c r="I79" s="26">
        <v>0</v>
      </c>
      <c r="J79" s="26">
        <f t="shared" si="25"/>
        <v>144400</v>
      </c>
      <c r="K79" s="26">
        <v>88000</v>
      </c>
      <c r="L79" s="26">
        <v>0</v>
      </c>
      <c r="M79" s="26">
        <v>0</v>
      </c>
      <c r="N79" s="26">
        <v>0</v>
      </c>
      <c r="O79" s="26">
        <f>56400+88000</f>
        <v>144400</v>
      </c>
      <c r="P79" s="26">
        <f t="shared" si="26"/>
        <v>15748704.140000001</v>
      </c>
    </row>
    <row r="80" spans="1:16" ht="31.2" x14ac:dyDescent="0.3">
      <c r="A80" s="13" t="s">
        <v>135</v>
      </c>
      <c r="B80" s="13" t="s">
        <v>136</v>
      </c>
      <c r="C80" s="13" t="s">
        <v>44</v>
      </c>
      <c r="D80" s="14" t="s">
        <v>137</v>
      </c>
      <c r="E80" s="26">
        <f t="shared" si="24"/>
        <v>7180700</v>
      </c>
      <c r="F80" s="26">
        <v>7180700</v>
      </c>
      <c r="G80" s="26">
        <v>5775400</v>
      </c>
      <c r="H80" s="26">
        <v>314800</v>
      </c>
      <c r="I80" s="26">
        <v>0</v>
      </c>
      <c r="J80" s="26">
        <f t="shared" si="25"/>
        <v>84500</v>
      </c>
      <c r="K80" s="26">
        <v>84500</v>
      </c>
      <c r="L80" s="26">
        <v>0</v>
      </c>
      <c r="M80" s="26">
        <v>0</v>
      </c>
      <c r="N80" s="26">
        <v>0</v>
      </c>
      <c r="O80" s="26">
        <v>84500</v>
      </c>
      <c r="P80" s="26">
        <f t="shared" si="26"/>
        <v>7265200</v>
      </c>
    </row>
    <row r="81" spans="1:16" ht="31.2" x14ac:dyDescent="0.3">
      <c r="A81" s="13" t="s">
        <v>138</v>
      </c>
      <c r="B81" s="13" t="s">
        <v>139</v>
      </c>
      <c r="C81" s="13" t="s">
        <v>44</v>
      </c>
      <c r="D81" s="14" t="s">
        <v>294</v>
      </c>
      <c r="E81" s="26">
        <f t="shared" si="24"/>
        <v>700000</v>
      </c>
      <c r="F81" s="26">
        <v>700000</v>
      </c>
      <c r="G81" s="26">
        <v>0</v>
      </c>
      <c r="H81" s="26">
        <v>0</v>
      </c>
      <c r="I81" s="26">
        <v>0</v>
      </c>
      <c r="J81" s="26">
        <f t="shared" si="25"/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f t="shared" si="26"/>
        <v>700000</v>
      </c>
    </row>
    <row r="82" spans="1:16" ht="93.6" x14ac:dyDescent="0.3">
      <c r="A82" s="13" t="s">
        <v>140</v>
      </c>
      <c r="B82" s="13" t="s">
        <v>108</v>
      </c>
      <c r="C82" s="13" t="s">
        <v>44</v>
      </c>
      <c r="D82" s="14" t="s">
        <v>109</v>
      </c>
      <c r="E82" s="26">
        <f t="shared" si="24"/>
        <v>1200000</v>
      </c>
      <c r="F82" s="26">
        <v>1200000</v>
      </c>
      <c r="G82" s="26">
        <v>0</v>
      </c>
      <c r="H82" s="26">
        <v>0</v>
      </c>
      <c r="I82" s="26">
        <v>0</v>
      </c>
      <c r="J82" s="26">
        <f t="shared" si="25"/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f t="shared" si="26"/>
        <v>1200000</v>
      </c>
    </row>
    <row r="83" spans="1:16" ht="103.2" customHeight="1" x14ac:dyDescent="0.3">
      <c r="A83" s="13" t="s">
        <v>141</v>
      </c>
      <c r="B83" s="13" t="s">
        <v>142</v>
      </c>
      <c r="C83" s="13" t="s">
        <v>76</v>
      </c>
      <c r="D83" s="14" t="s">
        <v>143</v>
      </c>
      <c r="E83" s="26">
        <f t="shared" si="24"/>
        <v>2200000</v>
      </c>
      <c r="F83" s="26">
        <v>2200000</v>
      </c>
      <c r="G83" s="26">
        <v>0</v>
      </c>
      <c r="H83" s="26">
        <v>0</v>
      </c>
      <c r="I83" s="26">
        <v>0</v>
      </c>
      <c r="J83" s="26">
        <f t="shared" si="25"/>
        <v>0</v>
      </c>
      <c r="K83" s="26">
        <v>0</v>
      </c>
      <c r="L83" s="26">
        <v>0</v>
      </c>
      <c r="M83" s="26">
        <v>0</v>
      </c>
      <c r="N83" s="26">
        <v>0</v>
      </c>
      <c r="O83" s="26">
        <v>0</v>
      </c>
      <c r="P83" s="26">
        <f t="shared" si="26"/>
        <v>2200000</v>
      </c>
    </row>
    <row r="84" spans="1:16" ht="78" x14ac:dyDescent="0.3">
      <c r="A84" s="13" t="s">
        <v>144</v>
      </c>
      <c r="B84" s="13" t="s">
        <v>145</v>
      </c>
      <c r="C84" s="13" t="s">
        <v>76</v>
      </c>
      <c r="D84" s="14" t="s">
        <v>146</v>
      </c>
      <c r="E84" s="26">
        <f t="shared" si="24"/>
        <v>29821</v>
      </c>
      <c r="F84" s="26">
        <v>29821</v>
      </c>
      <c r="G84" s="26">
        <v>0</v>
      </c>
      <c r="H84" s="26">
        <v>0</v>
      </c>
      <c r="I84" s="26">
        <v>0</v>
      </c>
      <c r="J84" s="26">
        <f t="shared" si="25"/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f t="shared" si="26"/>
        <v>29821</v>
      </c>
    </row>
    <row r="85" spans="1:16" ht="93.6" x14ac:dyDescent="0.3">
      <c r="A85" s="13" t="s">
        <v>147</v>
      </c>
      <c r="B85" s="13" t="s">
        <v>148</v>
      </c>
      <c r="C85" s="13" t="s">
        <v>149</v>
      </c>
      <c r="D85" s="14" t="s">
        <v>150</v>
      </c>
      <c r="E85" s="26">
        <f t="shared" si="24"/>
        <v>1500000</v>
      </c>
      <c r="F85" s="26">
        <v>1500000</v>
      </c>
      <c r="G85" s="26">
        <v>0</v>
      </c>
      <c r="H85" s="26">
        <v>0</v>
      </c>
      <c r="I85" s="26">
        <v>0</v>
      </c>
      <c r="J85" s="26">
        <f t="shared" si="25"/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f t="shared" si="26"/>
        <v>1500000</v>
      </c>
    </row>
    <row r="86" spans="1:16" ht="62.4" x14ac:dyDescent="0.3">
      <c r="A86" s="13" t="s">
        <v>151</v>
      </c>
      <c r="B86" s="13" t="s">
        <v>152</v>
      </c>
      <c r="C86" s="13" t="s">
        <v>122</v>
      </c>
      <c r="D86" s="14" t="s">
        <v>295</v>
      </c>
      <c r="E86" s="26">
        <f t="shared" si="24"/>
        <v>100000</v>
      </c>
      <c r="F86" s="26">
        <v>100000</v>
      </c>
      <c r="G86" s="26">
        <v>0</v>
      </c>
      <c r="H86" s="26">
        <v>0</v>
      </c>
      <c r="I86" s="26">
        <v>0</v>
      </c>
      <c r="J86" s="26">
        <f t="shared" si="25"/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6">
        <f t="shared" si="26"/>
        <v>100000</v>
      </c>
    </row>
    <row r="87" spans="1:16" ht="69.599999999999994" customHeight="1" x14ac:dyDescent="0.3">
      <c r="A87" s="21" t="s">
        <v>269</v>
      </c>
      <c r="B87" s="20">
        <v>3230</v>
      </c>
      <c r="C87" s="20">
        <v>1070</v>
      </c>
      <c r="D87" s="14" t="s">
        <v>270</v>
      </c>
      <c r="E87" s="26">
        <f t="shared" si="24"/>
        <v>662800</v>
      </c>
      <c r="F87" s="26">
        <v>662800</v>
      </c>
      <c r="G87" s="26"/>
      <c r="H87" s="26"/>
      <c r="I87" s="26"/>
      <c r="J87" s="26">
        <f t="shared" si="25"/>
        <v>0</v>
      </c>
      <c r="K87" s="26"/>
      <c r="L87" s="26"/>
      <c r="M87" s="26"/>
      <c r="N87" s="26"/>
      <c r="O87" s="26"/>
      <c r="P87" s="26">
        <f t="shared" si="26"/>
        <v>662800</v>
      </c>
    </row>
    <row r="88" spans="1:16" ht="31.2" x14ac:dyDescent="0.3">
      <c r="A88" s="13" t="s">
        <v>153</v>
      </c>
      <c r="B88" s="13" t="s">
        <v>47</v>
      </c>
      <c r="C88" s="13" t="s">
        <v>48</v>
      </c>
      <c r="D88" s="14" t="s">
        <v>49</v>
      </c>
      <c r="E88" s="26">
        <f t="shared" si="24"/>
        <v>35142820</v>
      </c>
      <c r="F88" s="26">
        <f>32959800+96000+2087020</f>
        <v>35142820</v>
      </c>
      <c r="G88" s="26">
        <v>0</v>
      </c>
      <c r="H88" s="26">
        <v>0</v>
      </c>
      <c r="I88" s="26">
        <v>0</v>
      </c>
      <c r="J88" s="26">
        <f t="shared" si="25"/>
        <v>0</v>
      </c>
      <c r="K88" s="26">
        <v>0</v>
      </c>
      <c r="L88" s="26">
        <v>0</v>
      </c>
      <c r="M88" s="26">
        <v>0</v>
      </c>
      <c r="N88" s="26">
        <v>0</v>
      </c>
      <c r="O88" s="26">
        <v>0</v>
      </c>
      <c r="P88" s="26">
        <f t="shared" si="26"/>
        <v>35142820</v>
      </c>
    </row>
    <row r="89" spans="1:16" ht="109.2" x14ac:dyDescent="0.3">
      <c r="A89" s="21" t="s">
        <v>307</v>
      </c>
      <c r="B89" s="21">
        <v>6083</v>
      </c>
      <c r="C89" s="21" t="s">
        <v>309</v>
      </c>
      <c r="D89" s="14" t="s">
        <v>308</v>
      </c>
      <c r="E89" s="26">
        <f t="shared" si="24"/>
        <v>0</v>
      </c>
      <c r="F89" s="26"/>
      <c r="G89" s="26"/>
      <c r="H89" s="26"/>
      <c r="I89" s="26"/>
      <c r="J89" s="26">
        <f t="shared" si="25"/>
        <v>1000000</v>
      </c>
      <c r="K89" s="26">
        <v>1000000</v>
      </c>
      <c r="L89" s="26"/>
      <c r="M89" s="26"/>
      <c r="N89" s="26"/>
      <c r="O89" s="26">
        <v>1000000</v>
      </c>
      <c r="P89" s="26">
        <f>E89+J89</f>
        <v>1000000</v>
      </c>
    </row>
    <row r="90" spans="1:16" ht="46.8" x14ac:dyDescent="0.3">
      <c r="A90" s="21" t="s">
        <v>374</v>
      </c>
      <c r="B90" s="21" t="s">
        <v>278</v>
      </c>
      <c r="C90" s="21" t="s">
        <v>279</v>
      </c>
      <c r="D90" s="14" t="s">
        <v>280</v>
      </c>
      <c r="E90" s="26">
        <f t="shared" si="24"/>
        <v>120000</v>
      </c>
      <c r="F90" s="26">
        <v>120000</v>
      </c>
      <c r="G90" s="26"/>
      <c r="H90" s="26"/>
      <c r="I90" s="26"/>
      <c r="J90" s="26">
        <f t="shared" si="25"/>
        <v>0</v>
      </c>
      <c r="K90" s="26"/>
      <c r="L90" s="26"/>
      <c r="M90" s="26"/>
      <c r="N90" s="26"/>
      <c r="O90" s="26"/>
      <c r="P90" s="26">
        <f>E90+J90</f>
        <v>120000</v>
      </c>
    </row>
    <row r="91" spans="1:16" ht="46.8" x14ac:dyDescent="0.3">
      <c r="A91" s="11" t="s">
        <v>154</v>
      </c>
      <c r="B91" s="11" t="s">
        <v>17</v>
      </c>
      <c r="C91" s="11" t="s">
        <v>17</v>
      </c>
      <c r="D91" s="12" t="s">
        <v>155</v>
      </c>
      <c r="E91" s="25">
        <f>F91+I91</f>
        <v>50253500</v>
      </c>
      <c r="F91" s="25">
        <f>F92</f>
        <v>50253500</v>
      </c>
      <c r="G91" s="25">
        <f>G92</f>
        <v>43445800</v>
      </c>
      <c r="H91" s="25">
        <f>H92</f>
        <v>3619300</v>
      </c>
      <c r="I91" s="25">
        <f>I92</f>
        <v>0</v>
      </c>
      <c r="J91" s="25">
        <f>L91+O91</f>
        <v>1417500</v>
      </c>
      <c r="K91" s="25">
        <f>K92</f>
        <v>94000</v>
      </c>
      <c r="L91" s="25">
        <f>L92</f>
        <v>1096500</v>
      </c>
      <c r="M91" s="25">
        <f>M92</f>
        <v>415000</v>
      </c>
      <c r="N91" s="25">
        <f>N92</f>
        <v>0</v>
      </c>
      <c r="O91" s="25">
        <f>O92</f>
        <v>321000</v>
      </c>
      <c r="P91" s="25">
        <f>E91+J91</f>
        <v>51671000</v>
      </c>
    </row>
    <row r="92" spans="1:16" ht="46.8" x14ac:dyDescent="0.3">
      <c r="A92" s="11" t="s">
        <v>156</v>
      </c>
      <c r="B92" s="11" t="s">
        <v>17</v>
      </c>
      <c r="C92" s="11" t="s">
        <v>17</v>
      </c>
      <c r="D92" s="12" t="s">
        <v>155</v>
      </c>
      <c r="E92" s="25">
        <f>F92+I92</f>
        <v>50253500</v>
      </c>
      <c r="F92" s="25">
        <f>F93+F94+F95+F96+F97+F98+F99+F100</f>
        <v>50253500</v>
      </c>
      <c r="G92" s="25">
        <f>G93+G94+G95+G96+G97+G98+G99+G100</f>
        <v>43445800</v>
      </c>
      <c r="H92" s="25">
        <f>H93+H94+H95+H96+H97+H98+H99+H100</f>
        <v>3619300</v>
      </c>
      <c r="I92" s="25">
        <f>I93+I94+I95+I96+I97+I98+I99+I100</f>
        <v>0</v>
      </c>
      <c r="J92" s="25">
        <f>L92+O92</f>
        <v>1417500</v>
      </c>
      <c r="K92" s="25">
        <f>K93+K94+K95+K96+K97+K98+K99+K100</f>
        <v>94000</v>
      </c>
      <c r="L92" s="25">
        <f>L93+L94+L95+L96+L97+L98+L99+L100</f>
        <v>1096500</v>
      </c>
      <c r="M92" s="25">
        <f>M93+M94+M95+M96+M97+M98+M99+M100</f>
        <v>415000</v>
      </c>
      <c r="N92" s="25">
        <f>N93+N94+N95+N96+N97+N98+N99+N100</f>
        <v>0</v>
      </c>
      <c r="O92" s="25">
        <f>O93+O94+O95+O96+O97+O98+O99+O100</f>
        <v>321000</v>
      </c>
      <c r="P92" s="25">
        <f>E92+J92</f>
        <v>51671000</v>
      </c>
    </row>
    <row r="93" spans="1:16" ht="64.2" customHeight="1" x14ac:dyDescent="0.3">
      <c r="A93" s="13" t="s">
        <v>157</v>
      </c>
      <c r="B93" s="13" t="s">
        <v>72</v>
      </c>
      <c r="C93" s="13" t="s">
        <v>22</v>
      </c>
      <c r="D93" s="14" t="s">
        <v>73</v>
      </c>
      <c r="E93" s="26">
        <f>F93+I93</f>
        <v>706300</v>
      </c>
      <c r="F93" s="26">
        <f>701800+4500</f>
        <v>706300</v>
      </c>
      <c r="G93" s="26">
        <f>677400+4500</f>
        <v>681900</v>
      </c>
      <c r="H93" s="26">
        <v>0</v>
      </c>
      <c r="I93" s="26">
        <v>0</v>
      </c>
      <c r="J93" s="26">
        <f>L93+O93</f>
        <v>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f>E93+J93</f>
        <v>706300</v>
      </c>
    </row>
    <row r="94" spans="1:16" ht="31.2" x14ac:dyDescent="0.3">
      <c r="A94" s="13" t="s">
        <v>158</v>
      </c>
      <c r="B94" s="13" t="s">
        <v>28</v>
      </c>
      <c r="C94" s="13" t="s">
        <v>29</v>
      </c>
      <c r="D94" s="14" t="s">
        <v>30</v>
      </c>
      <c r="E94" s="26">
        <f t="shared" ref="E94:E100" si="27">F94+I94</f>
        <v>350000</v>
      </c>
      <c r="F94" s="26">
        <v>350000</v>
      </c>
      <c r="G94" s="26">
        <v>0</v>
      </c>
      <c r="H94" s="26">
        <v>0</v>
      </c>
      <c r="I94" s="26">
        <v>0</v>
      </c>
      <c r="J94" s="26">
        <f t="shared" ref="J94:J100" si="28">L94+O94</f>
        <v>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f t="shared" ref="P94:P100" si="29">E94+J94</f>
        <v>350000</v>
      </c>
    </row>
    <row r="95" spans="1:16" ht="31.2" x14ac:dyDescent="0.3">
      <c r="A95" s="13" t="s">
        <v>159</v>
      </c>
      <c r="B95" s="13" t="s">
        <v>160</v>
      </c>
      <c r="C95" s="13" t="s">
        <v>91</v>
      </c>
      <c r="D95" s="14" t="s">
        <v>161</v>
      </c>
      <c r="E95" s="26">
        <f t="shared" si="27"/>
        <v>22902300</v>
      </c>
      <c r="F95" s="26">
        <v>22902300</v>
      </c>
      <c r="G95" s="26">
        <v>22133000</v>
      </c>
      <c r="H95" s="26">
        <v>720200</v>
      </c>
      <c r="I95" s="26">
        <v>0</v>
      </c>
      <c r="J95" s="26">
        <f t="shared" si="28"/>
        <v>1001500</v>
      </c>
      <c r="K95" s="26">
        <v>0</v>
      </c>
      <c r="L95" s="26">
        <v>801500</v>
      </c>
      <c r="M95" s="26">
        <v>385000</v>
      </c>
      <c r="N95" s="26">
        <v>0</v>
      </c>
      <c r="O95" s="26">
        <v>200000</v>
      </c>
      <c r="P95" s="26">
        <f t="shared" si="29"/>
        <v>23903800</v>
      </c>
    </row>
    <row r="96" spans="1:16" x14ac:dyDescent="0.3">
      <c r="A96" s="13" t="s">
        <v>162</v>
      </c>
      <c r="B96" s="13" t="s">
        <v>163</v>
      </c>
      <c r="C96" s="13" t="s">
        <v>164</v>
      </c>
      <c r="D96" s="14" t="s">
        <v>165</v>
      </c>
      <c r="E96" s="26">
        <f t="shared" si="27"/>
        <v>8183000</v>
      </c>
      <c r="F96" s="26">
        <v>8183000</v>
      </c>
      <c r="G96" s="26">
        <v>6728500</v>
      </c>
      <c r="H96" s="26">
        <v>1137900</v>
      </c>
      <c r="I96" s="26">
        <v>0</v>
      </c>
      <c r="J96" s="26">
        <f t="shared" si="28"/>
        <v>171000</v>
      </c>
      <c r="K96" s="26">
        <v>74000</v>
      </c>
      <c r="L96" s="26">
        <v>97000</v>
      </c>
      <c r="M96" s="26">
        <v>0</v>
      </c>
      <c r="N96" s="26">
        <v>0</v>
      </c>
      <c r="O96" s="26">
        <v>74000</v>
      </c>
      <c r="P96" s="26">
        <f t="shared" si="29"/>
        <v>8354000</v>
      </c>
    </row>
    <row r="97" spans="1:16" ht="31.2" x14ac:dyDescent="0.3">
      <c r="A97" s="13" t="s">
        <v>166</v>
      </c>
      <c r="B97" s="13" t="s">
        <v>167</v>
      </c>
      <c r="C97" s="13" t="s">
        <v>164</v>
      </c>
      <c r="D97" s="14" t="s">
        <v>296</v>
      </c>
      <c r="E97" s="26">
        <f t="shared" si="27"/>
        <v>3418200</v>
      </c>
      <c r="F97" s="26">
        <f>3056600+140000+21600+200000</f>
        <v>3418200</v>
      </c>
      <c r="G97" s="26">
        <v>2315300</v>
      </c>
      <c r="H97" s="26">
        <v>513500</v>
      </c>
      <c r="I97" s="26">
        <v>0</v>
      </c>
      <c r="J97" s="26">
        <f t="shared" si="28"/>
        <v>40000</v>
      </c>
      <c r="K97" s="26">
        <v>0</v>
      </c>
      <c r="L97" s="26">
        <v>40000</v>
      </c>
      <c r="M97" s="26">
        <v>0</v>
      </c>
      <c r="N97" s="26">
        <v>0</v>
      </c>
      <c r="O97" s="26">
        <v>0</v>
      </c>
      <c r="P97" s="26">
        <f t="shared" si="29"/>
        <v>3458200</v>
      </c>
    </row>
    <row r="98" spans="1:16" ht="46.8" x14ac:dyDescent="0.3">
      <c r="A98" s="13" t="s">
        <v>168</v>
      </c>
      <c r="B98" s="13" t="s">
        <v>169</v>
      </c>
      <c r="C98" s="13" t="s">
        <v>170</v>
      </c>
      <c r="D98" s="14" t="s">
        <v>297</v>
      </c>
      <c r="E98" s="26">
        <f t="shared" si="27"/>
        <v>11739100</v>
      </c>
      <c r="F98" s="26">
        <v>11739100</v>
      </c>
      <c r="G98" s="26">
        <v>9655700</v>
      </c>
      <c r="H98" s="26">
        <v>1171600</v>
      </c>
      <c r="I98" s="26">
        <v>0</v>
      </c>
      <c r="J98" s="26">
        <f t="shared" si="28"/>
        <v>205000</v>
      </c>
      <c r="K98" s="26">
        <v>20000</v>
      </c>
      <c r="L98" s="26">
        <v>158000</v>
      </c>
      <c r="M98" s="26">
        <v>30000</v>
      </c>
      <c r="N98" s="26">
        <v>0</v>
      </c>
      <c r="O98" s="26">
        <f>27000+20000</f>
        <v>47000</v>
      </c>
      <c r="P98" s="26">
        <f t="shared" si="29"/>
        <v>11944100</v>
      </c>
    </row>
    <row r="99" spans="1:16" ht="31.2" x14ac:dyDescent="0.3">
      <c r="A99" s="13" t="s">
        <v>171</v>
      </c>
      <c r="B99" s="13" t="s">
        <v>172</v>
      </c>
      <c r="C99" s="13" t="s">
        <v>173</v>
      </c>
      <c r="D99" s="14" t="s">
        <v>174</v>
      </c>
      <c r="E99" s="26">
        <f t="shared" si="27"/>
        <v>2094600</v>
      </c>
      <c r="F99" s="26">
        <v>2094600</v>
      </c>
      <c r="G99" s="26">
        <v>1931400</v>
      </c>
      <c r="H99" s="26">
        <v>76100</v>
      </c>
      <c r="I99" s="26">
        <v>0</v>
      </c>
      <c r="J99" s="26">
        <f t="shared" si="28"/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f t="shared" si="29"/>
        <v>2094600</v>
      </c>
    </row>
    <row r="100" spans="1:16" ht="31.2" x14ac:dyDescent="0.3">
      <c r="A100" s="13" t="s">
        <v>175</v>
      </c>
      <c r="B100" s="13" t="s">
        <v>176</v>
      </c>
      <c r="C100" s="13" t="s">
        <v>173</v>
      </c>
      <c r="D100" s="14" t="s">
        <v>177</v>
      </c>
      <c r="E100" s="26">
        <f t="shared" si="27"/>
        <v>860000</v>
      </c>
      <c r="F100" s="26">
        <f>1000000-140000</f>
        <v>860000</v>
      </c>
      <c r="G100" s="26">
        <v>0</v>
      </c>
      <c r="H100" s="26">
        <v>0</v>
      </c>
      <c r="I100" s="26">
        <v>0</v>
      </c>
      <c r="J100" s="26">
        <f t="shared" si="28"/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f t="shared" si="29"/>
        <v>860000</v>
      </c>
    </row>
    <row r="101" spans="1:16" ht="46.8" x14ac:dyDescent="0.3">
      <c r="A101" s="11" t="s">
        <v>178</v>
      </c>
      <c r="B101" s="11" t="s">
        <v>17</v>
      </c>
      <c r="C101" s="11" t="s">
        <v>17</v>
      </c>
      <c r="D101" s="12" t="s">
        <v>285</v>
      </c>
      <c r="E101" s="25">
        <f t="shared" ref="E101:E111" si="30">F101+I101</f>
        <v>7043300</v>
      </c>
      <c r="F101" s="25">
        <f>F102</f>
        <v>7043300</v>
      </c>
      <c r="G101" s="25">
        <f>G102</f>
        <v>2090200</v>
      </c>
      <c r="H101" s="25">
        <f>H102</f>
        <v>70600</v>
      </c>
      <c r="I101" s="25">
        <f>I102</f>
        <v>0</v>
      </c>
      <c r="J101" s="25">
        <f t="shared" ref="J101:J111" si="31">L101+O101</f>
        <v>50000</v>
      </c>
      <c r="K101" s="25">
        <f>K102</f>
        <v>50000</v>
      </c>
      <c r="L101" s="25">
        <f>L102</f>
        <v>0</v>
      </c>
      <c r="M101" s="25">
        <f>M102</f>
        <v>0</v>
      </c>
      <c r="N101" s="25">
        <f>N102</f>
        <v>0</v>
      </c>
      <c r="O101" s="25">
        <f>O102</f>
        <v>50000</v>
      </c>
      <c r="P101" s="25">
        <f t="shared" ref="P101:P111" si="32">E101+J101</f>
        <v>7093300</v>
      </c>
    </row>
    <row r="102" spans="1:16" ht="46.8" x14ac:dyDescent="0.3">
      <c r="A102" s="11" t="s">
        <v>179</v>
      </c>
      <c r="B102" s="11" t="s">
        <v>17</v>
      </c>
      <c r="C102" s="11" t="s">
        <v>17</v>
      </c>
      <c r="D102" s="12" t="s">
        <v>285</v>
      </c>
      <c r="E102" s="25">
        <f t="shared" si="30"/>
        <v>7043300</v>
      </c>
      <c r="F102" s="25">
        <f>F103+F104+F105+F106+F107+F108</f>
        <v>7043300</v>
      </c>
      <c r="G102" s="25">
        <f>G103+G104+G105+G106+G107+G108</f>
        <v>2090200</v>
      </c>
      <c r="H102" s="25">
        <f>H103+H104+H105+H106+H107+H108</f>
        <v>70600</v>
      </c>
      <c r="I102" s="25">
        <f>I103+I104+I105+I106+I107+I108</f>
        <v>0</v>
      </c>
      <c r="J102" s="25">
        <f t="shared" si="31"/>
        <v>50000</v>
      </c>
      <c r="K102" s="25">
        <f>K103+K104+K105+K106+K107+K108</f>
        <v>50000</v>
      </c>
      <c r="L102" s="25">
        <f>L103+L104+L105+L106+L107+L108</f>
        <v>0</v>
      </c>
      <c r="M102" s="25">
        <f>M103+M104+M105+M106+M107+M108</f>
        <v>0</v>
      </c>
      <c r="N102" s="25">
        <f>N103+N104+N105+N106+N107+N108</f>
        <v>0</v>
      </c>
      <c r="O102" s="25">
        <f>O103+O104+O105+O106+O107+O108</f>
        <v>50000</v>
      </c>
      <c r="P102" s="25">
        <f t="shared" si="32"/>
        <v>7093300</v>
      </c>
    </row>
    <row r="103" spans="1:16" ht="65.400000000000006" customHeight="1" x14ac:dyDescent="0.3">
      <c r="A103" s="13" t="s">
        <v>180</v>
      </c>
      <c r="B103" s="13" t="s">
        <v>72</v>
      </c>
      <c r="C103" s="13" t="s">
        <v>22</v>
      </c>
      <c r="D103" s="14" t="s">
        <v>73</v>
      </c>
      <c r="E103" s="26">
        <f t="shared" si="30"/>
        <v>1806500</v>
      </c>
      <c r="F103" s="26">
        <v>1806500</v>
      </c>
      <c r="G103" s="26">
        <v>1714000</v>
      </c>
      <c r="H103" s="26">
        <v>0</v>
      </c>
      <c r="I103" s="26">
        <v>0</v>
      </c>
      <c r="J103" s="26">
        <f t="shared" si="31"/>
        <v>50000</v>
      </c>
      <c r="K103" s="26">
        <v>50000</v>
      </c>
      <c r="L103" s="26">
        <v>0</v>
      </c>
      <c r="M103" s="26">
        <v>0</v>
      </c>
      <c r="N103" s="26">
        <v>0</v>
      </c>
      <c r="O103" s="26">
        <v>50000</v>
      </c>
      <c r="P103" s="26">
        <f t="shared" si="32"/>
        <v>1856500</v>
      </c>
    </row>
    <row r="104" spans="1:16" ht="31.2" x14ac:dyDescent="0.3">
      <c r="A104" s="13" t="s">
        <v>181</v>
      </c>
      <c r="B104" s="13" t="s">
        <v>28</v>
      </c>
      <c r="C104" s="13" t="s">
        <v>29</v>
      </c>
      <c r="D104" s="14" t="s">
        <v>30</v>
      </c>
      <c r="E104" s="26">
        <f t="shared" si="30"/>
        <v>350000</v>
      </c>
      <c r="F104" s="26">
        <v>350000</v>
      </c>
      <c r="G104" s="26">
        <v>0</v>
      </c>
      <c r="H104" s="26">
        <v>0</v>
      </c>
      <c r="I104" s="26">
        <v>0</v>
      </c>
      <c r="J104" s="26">
        <f t="shared" si="31"/>
        <v>0</v>
      </c>
      <c r="K104" s="26">
        <v>0</v>
      </c>
      <c r="L104" s="26">
        <v>0</v>
      </c>
      <c r="M104" s="26">
        <v>0</v>
      </c>
      <c r="N104" s="26">
        <v>0</v>
      </c>
      <c r="O104" s="26">
        <v>0</v>
      </c>
      <c r="P104" s="26">
        <f t="shared" si="32"/>
        <v>350000</v>
      </c>
    </row>
    <row r="105" spans="1:16" ht="31.2" x14ac:dyDescent="0.3">
      <c r="A105" s="13" t="s">
        <v>182</v>
      </c>
      <c r="B105" s="13" t="s">
        <v>183</v>
      </c>
      <c r="C105" s="13" t="s">
        <v>44</v>
      </c>
      <c r="D105" s="14" t="s">
        <v>184</v>
      </c>
      <c r="E105" s="26">
        <f t="shared" si="30"/>
        <v>2552800</v>
      </c>
      <c r="F105" s="26">
        <f>1838600+714200</f>
        <v>2552800</v>
      </c>
      <c r="G105" s="26">
        <v>376200</v>
      </c>
      <c r="H105" s="26">
        <v>70600</v>
      </c>
      <c r="I105" s="26">
        <v>0</v>
      </c>
      <c r="J105" s="26">
        <f t="shared" si="31"/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f t="shared" si="32"/>
        <v>2552800</v>
      </c>
    </row>
    <row r="106" spans="1:16" ht="46.8" x14ac:dyDescent="0.3">
      <c r="A106" s="13" t="s">
        <v>185</v>
      </c>
      <c r="B106" s="13" t="s">
        <v>186</v>
      </c>
      <c r="C106" s="13" t="s">
        <v>113</v>
      </c>
      <c r="D106" s="14" t="s">
        <v>187</v>
      </c>
      <c r="E106" s="26">
        <f t="shared" si="30"/>
        <v>620000</v>
      </c>
      <c r="F106" s="26">
        <v>620000</v>
      </c>
      <c r="G106" s="26">
        <v>0</v>
      </c>
      <c r="H106" s="26">
        <v>0</v>
      </c>
      <c r="I106" s="26">
        <v>0</v>
      </c>
      <c r="J106" s="26">
        <f t="shared" si="31"/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f t="shared" si="32"/>
        <v>620000</v>
      </c>
    </row>
    <row r="107" spans="1:16" ht="46.8" x14ac:dyDescent="0.3">
      <c r="A107" s="13" t="s">
        <v>188</v>
      </c>
      <c r="B107" s="13" t="s">
        <v>189</v>
      </c>
      <c r="C107" s="13" t="s">
        <v>113</v>
      </c>
      <c r="D107" s="14" t="s">
        <v>190</v>
      </c>
      <c r="E107" s="26">
        <f t="shared" si="30"/>
        <v>300000</v>
      </c>
      <c r="F107" s="26">
        <v>300000</v>
      </c>
      <c r="G107" s="26">
        <v>0</v>
      </c>
      <c r="H107" s="26">
        <v>0</v>
      </c>
      <c r="I107" s="26">
        <v>0</v>
      </c>
      <c r="J107" s="26">
        <f t="shared" si="31"/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f t="shared" si="32"/>
        <v>300000</v>
      </c>
    </row>
    <row r="108" spans="1:16" ht="78" x14ac:dyDescent="0.3">
      <c r="A108" s="13" t="s">
        <v>191</v>
      </c>
      <c r="B108" s="13" t="s">
        <v>192</v>
      </c>
      <c r="C108" s="13" t="s">
        <v>113</v>
      </c>
      <c r="D108" s="14" t="s">
        <v>298</v>
      </c>
      <c r="E108" s="26">
        <f t="shared" si="30"/>
        <v>1414000</v>
      </c>
      <c r="F108" s="26">
        <v>1414000</v>
      </c>
      <c r="G108" s="26"/>
      <c r="H108" s="26">
        <v>0</v>
      </c>
      <c r="I108" s="26">
        <v>0</v>
      </c>
      <c r="J108" s="26">
        <f t="shared" si="31"/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0</v>
      </c>
      <c r="P108" s="26">
        <f t="shared" si="32"/>
        <v>1414000</v>
      </c>
    </row>
    <row r="109" spans="1:16" ht="62.4" x14ac:dyDescent="0.3">
      <c r="A109" s="11" t="s">
        <v>193</v>
      </c>
      <c r="B109" s="11" t="s">
        <v>17</v>
      </c>
      <c r="C109" s="11" t="s">
        <v>17</v>
      </c>
      <c r="D109" s="12" t="s">
        <v>194</v>
      </c>
      <c r="E109" s="25">
        <f t="shared" si="30"/>
        <v>158340458.68000001</v>
      </c>
      <c r="F109" s="25">
        <f>F110</f>
        <v>51877688.68</v>
      </c>
      <c r="G109" s="25">
        <f>G110</f>
        <v>3345600</v>
      </c>
      <c r="H109" s="25">
        <f>H110</f>
        <v>0</v>
      </c>
      <c r="I109" s="25">
        <f>I110</f>
        <v>106462770</v>
      </c>
      <c r="J109" s="25">
        <f t="shared" si="31"/>
        <v>20461049.489999998</v>
      </c>
      <c r="K109" s="25">
        <f>K110</f>
        <v>19030342.879999999</v>
      </c>
      <c r="L109" s="25">
        <f>L110</f>
        <v>220000</v>
      </c>
      <c r="M109" s="25">
        <f>M110</f>
        <v>0</v>
      </c>
      <c r="N109" s="25">
        <f>N110</f>
        <v>0</v>
      </c>
      <c r="O109" s="25">
        <f>O110</f>
        <v>20241049.489999998</v>
      </c>
      <c r="P109" s="25">
        <f t="shared" si="32"/>
        <v>178801508.17000002</v>
      </c>
    </row>
    <row r="110" spans="1:16" ht="62.4" x14ac:dyDescent="0.3">
      <c r="A110" s="11" t="s">
        <v>195</v>
      </c>
      <c r="B110" s="11" t="s">
        <v>17</v>
      </c>
      <c r="C110" s="11" t="s">
        <v>17</v>
      </c>
      <c r="D110" s="12" t="s">
        <v>194</v>
      </c>
      <c r="E110" s="25">
        <f t="shared" si="30"/>
        <v>158340458.68000001</v>
      </c>
      <c r="F110" s="25">
        <f>F111+F112+F113+F114+F115+F116+F117+F118+F119+F120+F121+F122+F123+F124+F125+F126+F127+F128+F129</f>
        <v>51877688.68</v>
      </c>
      <c r="G110" s="25">
        <f t="shared" ref="G110:K110" si="33">G111+G112+G113+G114+G115+G116+G117+G118+G119+G120+G121+G122+G123+G124+G125+G126+G127+G128+G129</f>
        <v>3345600</v>
      </c>
      <c r="H110" s="25">
        <f t="shared" si="33"/>
        <v>0</v>
      </c>
      <c r="I110" s="25">
        <f t="shared" si="33"/>
        <v>106462770</v>
      </c>
      <c r="J110" s="25">
        <f t="shared" ref="J110" si="34">J111+J112+J113+J114+J115+J116+J118+J119+J120+J121+J122+J123+J124+J125+J126+J127+J129</f>
        <v>20461049.489999998</v>
      </c>
      <c r="K110" s="25">
        <f t="shared" si="33"/>
        <v>19030342.879999999</v>
      </c>
      <c r="L110" s="25">
        <f t="shared" ref="L110" si="35">L111+L112+L113+L114+L115+L116+L117+L118+L119+L120+L121+L122+L123+L124+L125+L126+L127+L128+L129</f>
        <v>220000</v>
      </c>
      <c r="M110" s="25">
        <f t="shared" ref="M110" si="36">M111+M112+M113+M114+M115+M116+M117+M118+M119+M120+M121+M122+M123+M124+M125+M126+M127+M128+M129</f>
        <v>0</v>
      </c>
      <c r="N110" s="25">
        <f t="shared" ref="N110" si="37">N111+N112+N113+N114+N115+N116+N117+N118+N119+N120+N121+N122+N123+N124+N125+N126+N127+N128+N129</f>
        <v>0</v>
      </c>
      <c r="O110" s="25">
        <f t="shared" ref="O110" si="38">O111+O112+O113+O114+O115+O116+O117+O118+O119+O120+O121+O122+O123+O124+O125+O126+O127+O128+O129</f>
        <v>20241049.489999998</v>
      </c>
      <c r="P110" s="25">
        <f>P111+P112+P113+P114+P115+P116+P117+P118+P119+P120+P121+P122+P123+P124+P125+P126+P127+P128+P129</f>
        <v>178801508.16999999</v>
      </c>
    </row>
    <row r="111" spans="1:16" ht="63" customHeight="1" x14ac:dyDescent="0.3">
      <c r="A111" s="13" t="s">
        <v>196</v>
      </c>
      <c r="B111" s="13" t="s">
        <v>72</v>
      </c>
      <c r="C111" s="13" t="s">
        <v>22</v>
      </c>
      <c r="D111" s="14" t="s">
        <v>73</v>
      </c>
      <c r="E111" s="26">
        <f t="shared" si="30"/>
        <v>3734560</v>
      </c>
      <c r="F111" s="26">
        <f>3717000+10560+7000</f>
        <v>3734560</v>
      </c>
      <c r="G111" s="26">
        <f>3338600+7000</f>
        <v>3345600</v>
      </c>
      <c r="H111" s="26">
        <v>0</v>
      </c>
      <c r="I111" s="26">
        <v>0</v>
      </c>
      <c r="J111" s="26">
        <f t="shared" si="31"/>
        <v>199800</v>
      </c>
      <c r="K111" s="26">
        <v>199800</v>
      </c>
      <c r="L111" s="26">
        <v>0</v>
      </c>
      <c r="M111" s="26">
        <v>0</v>
      </c>
      <c r="N111" s="26">
        <v>0</v>
      </c>
      <c r="O111" s="26">
        <v>199800</v>
      </c>
      <c r="P111" s="26">
        <f t="shared" si="32"/>
        <v>3934360</v>
      </c>
    </row>
    <row r="112" spans="1:16" ht="46.8" x14ac:dyDescent="0.3">
      <c r="A112" s="13" t="s">
        <v>197</v>
      </c>
      <c r="B112" s="13" t="s">
        <v>24</v>
      </c>
      <c r="C112" s="13" t="s">
        <v>25</v>
      </c>
      <c r="D112" s="14" t="s">
        <v>26</v>
      </c>
      <c r="E112" s="26">
        <f t="shared" ref="E112:E129" si="39">F112+I112</f>
        <v>25000</v>
      </c>
      <c r="F112" s="26">
        <v>25000</v>
      </c>
      <c r="G112" s="26">
        <v>0</v>
      </c>
      <c r="H112" s="26">
        <v>0</v>
      </c>
      <c r="I112" s="26">
        <v>0</v>
      </c>
      <c r="J112" s="26">
        <f t="shared" ref="J112:J129" si="40">L112+O112</f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f t="shared" ref="P112:P128" si="41">E112+J112</f>
        <v>25000</v>
      </c>
    </row>
    <row r="113" spans="1:16" ht="31.2" x14ac:dyDescent="0.3">
      <c r="A113" s="13" t="s">
        <v>198</v>
      </c>
      <c r="B113" s="13" t="s">
        <v>28</v>
      </c>
      <c r="C113" s="13" t="s">
        <v>29</v>
      </c>
      <c r="D113" s="14" t="s">
        <v>30</v>
      </c>
      <c r="E113" s="26">
        <f t="shared" si="39"/>
        <v>99000</v>
      </c>
      <c r="F113" s="26">
        <f>297000-198000</f>
        <v>99000</v>
      </c>
      <c r="G113" s="26">
        <v>0</v>
      </c>
      <c r="H113" s="26">
        <v>0</v>
      </c>
      <c r="I113" s="26">
        <v>0</v>
      </c>
      <c r="J113" s="26">
        <f t="shared" si="40"/>
        <v>0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f t="shared" si="41"/>
        <v>99000</v>
      </c>
    </row>
    <row r="114" spans="1:16" ht="31.2" x14ac:dyDescent="0.3">
      <c r="A114" s="13" t="s">
        <v>199</v>
      </c>
      <c r="B114" s="13" t="s">
        <v>200</v>
      </c>
      <c r="C114" s="13" t="s">
        <v>201</v>
      </c>
      <c r="D114" s="14" t="s">
        <v>202</v>
      </c>
      <c r="E114" s="26">
        <f t="shared" si="39"/>
        <v>30000</v>
      </c>
      <c r="F114" s="26">
        <v>30000</v>
      </c>
      <c r="G114" s="26">
        <v>0</v>
      </c>
      <c r="H114" s="26">
        <v>0</v>
      </c>
      <c r="I114" s="26">
        <v>0</v>
      </c>
      <c r="J114" s="26">
        <f t="shared" si="40"/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f t="shared" si="41"/>
        <v>30000</v>
      </c>
    </row>
    <row r="115" spans="1:16" ht="31.2" x14ac:dyDescent="0.3">
      <c r="A115" s="22">
        <v>1216011</v>
      </c>
      <c r="B115" s="22">
        <v>6011</v>
      </c>
      <c r="C115" s="22" t="s">
        <v>309</v>
      </c>
      <c r="D115" s="14" t="s">
        <v>310</v>
      </c>
      <c r="E115" s="26">
        <f t="shared" si="39"/>
        <v>0</v>
      </c>
      <c r="F115" s="26"/>
      <c r="G115" s="26"/>
      <c r="H115" s="26"/>
      <c r="I115" s="26"/>
      <c r="J115" s="26">
        <f t="shared" si="40"/>
        <v>5610817.6099999994</v>
      </c>
      <c r="K115" s="26">
        <f>3991510.61+1619307</f>
        <v>5610817.6099999994</v>
      </c>
      <c r="L115" s="26"/>
      <c r="M115" s="26"/>
      <c r="N115" s="26"/>
      <c r="O115" s="26">
        <f>3991510.61+1619307</f>
        <v>5610817.6099999994</v>
      </c>
      <c r="P115" s="26">
        <f t="shared" si="41"/>
        <v>5610817.6099999994</v>
      </c>
    </row>
    <row r="116" spans="1:16" ht="46.8" x14ac:dyDescent="0.3">
      <c r="A116" s="13" t="s">
        <v>203</v>
      </c>
      <c r="B116" s="13" t="s">
        <v>204</v>
      </c>
      <c r="C116" s="13" t="s">
        <v>52</v>
      </c>
      <c r="D116" s="14" t="s">
        <v>205</v>
      </c>
      <c r="E116" s="26">
        <f t="shared" si="39"/>
        <v>20000000</v>
      </c>
      <c r="F116" s="26">
        <v>0</v>
      </c>
      <c r="G116" s="26">
        <v>0</v>
      </c>
      <c r="H116" s="26">
        <v>0</v>
      </c>
      <c r="I116" s="26">
        <v>20000000</v>
      </c>
      <c r="J116" s="26">
        <f t="shared" si="40"/>
        <v>0</v>
      </c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f t="shared" si="41"/>
        <v>20000000</v>
      </c>
    </row>
    <row r="117" spans="1:16" ht="31.2" x14ac:dyDescent="0.3">
      <c r="A117" s="20">
        <v>1216013</v>
      </c>
      <c r="B117" s="20">
        <v>6013</v>
      </c>
      <c r="C117" s="13" t="s">
        <v>52</v>
      </c>
      <c r="D117" s="14" t="s">
        <v>325</v>
      </c>
      <c r="E117" s="26">
        <f t="shared" si="39"/>
        <v>338110</v>
      </c>
      <c r="F117" s="26"/>
      <c r="G117" s="26"/>
      <c r="H117" s="26"/>
      <c r="I117" s="26">
        <v>338110</v>
      </c>
      <c r="J117" s="26"/>
      <c r="K117" s="26"/>
      <c r="L117" s="26"/>
      <c r="M117" s="26"/>
      <c r="N117" s="26"/>
      <c r="O117" s="26"/>
      <c r="P117" s="26">
        <f t="shared" si="41"/>
        <v>338110</v>
      </c>
    </row>
    <row r="118" spans="1:16" ht="31.2" x14ac:dyDescent="0.3">
      <c r="A118" s="13" t="s">
        <v>206</v>
      </c>
      <c r="B118" s="13" t="s">
        <v>207</v>
      </c>
      <c r="C118" s="13" t="s">
        <v>52</v>
      </c>
      <c r="D118" s="14" t="s">
        <v>208</v>
      </c>
      <c r="E118" s="26">
        <f t="shared" si="39"/>
        <v>300000</v>
      </c>
      <c r="F118" s="26">
        <v>0</v>
      </c>
      <c r="G118" s="26">
        <v>0</v>
      </c>
      <c r="H118" s="26">
        <v>0</v>
      </c>
      <c r="I118" s="26">
        <v>300000</v>
      </c>
      <c r="J118" s="26">
        <f t="shared" si="40"/>
        <v>760685.48</v>
      </c>
      <c r="K118" s="26">
        <v>760685.48</v>
      </c>
      <c r="L118" s="26">
        <v>0</v>
      </c>
      <c r="M118" s="26">
        <v>0</v>
      </c>
      <c r="N118" s="26">
        <v>0</v>
      </c>
      <c r="O118" s="26">
        <v>760685.48</v>
      </c>
      <c r="P118" s="26">
        <f t="shared" si="41"/>
        <v>1060685.48</v>
      </c>
    </row>
    <row r="119" spans="1:16" ht="46.8" x14ac:dyDescent="0.3">
      <c r="A119" s="13" t="s">
        <v>209</v>
      </c>
      <c r="B119" s="13" t="s">
        <v>210</v>
      </c>
      <c r="C119" s="13" t="s">
        <v>52</v>
      </c>
      <c r="D119" s="14" t="s">
        <v>299</v>
      </c>
      <c r="E119" s="26">
        <f t="shared" si="39"/>
        <v>1080600</v>
      </c>
      <c r="F119" s="26">
        <v>0</v>
      </c>
      <c r="G119" s="26">
        <v>0</v>
      </c>
      <c r="H119" s="26">
        <v>0</v>
      </c>
      <c r="I119" s="26">
        <v>1080600</v>
      </c>
      <c r="J119" s="26">
        <f t="shared" si="40"/>
        <v>0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f t="shared" si="41"/>
        <v>1080600</v>
      </c>
    </row>
    <row r="120" spans="1:16" ht="31.2" x14ac:dyDescent="0.3">
      <c r="A120" s="13" t="s">
        <v>211</v>
      </c>
      <c r="B120" s="13" t="s">
        <v>51</v>
      </c>
      <c r="C120" s="13" t="s">
        <v>52</v>
      </c>
      <c r="D120" s="14" t="s">
        <v>53</v>
      </c>
      <c r="E120" s="26">
        <f>F120+I120</f>
        <v>74199100</v>
      </c>
      <c r="F120" s="26">
        <f>20143000+1082000+175000</f>
        <v>21400000</v>
      </c>
      <c r="G120" s="26">
        <v>0</v>
      </c>
      <c r="H120" s="28">
        <v>0</v>
      </c>
      <c r="I120" s="26">
        <f>52290100+100000+584000-175000</f>
        <v>52799100</v>
      </c>
      <c r="J120" s="26">
        <f t="shared" si="40"/>
        <v>6300845.5899999999</v>
      </c>
      <c r="K120" s="26">
        <f>223724.31+4680000+456822.2+839499.08+100800</f>
        <v>6300845.5899999999</v>
      </c>
      <c r="L120" s="26">
        <v>0</v>
      </c>
      <c r="M120" s="26">
        <v>0</v>
      </c>
      <c r="N120" s="26">
        <v>0</v>
      </c>
      <c r="O120" s="26">
        <f>223724.31+4680000+456822.2+839499.08+100800</f>
        <v>6300845.5899999999</v>
      </c>
      <c r="P120" s="26">
        <f t="shared" si="41"/>
        <v>80499945.590000004</v>
      </c>
    </row>
    <row r="121" spans="1:16" ht="31.2" x14ac:dyDescent="0.3">
      <c r="A121" s="22" t="s">
        <v>315</v>
      </c>
      <c r="B121" s="22" t="s">
        <v>316</v>
      </c>
      <c r="C121" s="22" t="s">
        <v>275</v>
      </c>
      <c r="D121" s="14" t="s">
        <v>317</v>
      </c>
      <c r="E121" s="26">
        <f t="shared" ref="E121:E122" si="42">F121+I121</f>
        <v>0</v>
      </c>
      <c r="F121" s="26"/>
      <c r="G121" s="26"/>
      <c r="H121" s="28"/>
      <c r="I121" s="26"/>
      <c r="J121" s="26">
        <f t="shared" si="40"/>
        <v>2325000</v>
      </c>
      <c r="K121" s="26">
        <v>2325000</v>
      </c>
      <c r="L121" s="26"/>
      <c r="M121" s="26"/>
      <c r="N121" s="26"/>
      <c r="O121" s="26">
        <v>2325000</v>
      </c>
      <c r="P121" s="26">
        <f t="shared" si="41"/>
        <v>2325000</v>
      </c>
    </row>
    <row r="122" spans="1:16" ht="46.8" x14ac:dyDescent="0.3">
      <c r="A122" s="22" t="s">
        <v>318</v>
      </c>
      <c r="B122" s="22" t="s">
        <v>319</v>
      </c>
      <c r="C122" s="22" t="s">
        <v>56</v>
      </c>
      <c r="D122" s="14" t="s">
        <v>320</v>
      </c>
      <c r="E122" s="26">
        <f t="shared" si="42"/>
        <v>100000</v>
      </c>
      <c r="F122" s="26"/>
      <c r="G122" s="26"/>
      <c r="H122" s="28"/>
      <c r="I122" s="26">
        <v>100000</v>
      </c>
      <c r="J122" s="26">
        <f t="shared" si="40"/>
        <v>0</v>
      </c>
      <c r="K122" s="26"/>
      <c r="L122" s="26"/>
      <c r="M122" s="26"/>
      <c r="N122" s="26"/>
      <c r="O122" s="26"/>
      <c r="P122" s="26">
        <f t="shared" si="41"/>
        <v>100000</v>
      </c>
    </row>
    <row r="123" spans="1:16" ht="46.8" x14ac:dyDescent="0.3">
      <c r="A123" s="13" t="s">
        <v>212</v>
      </c>
      <c r="B123" s="13" t="s">
        <v>213</v>
      </c>
      <c r="C123" s="13" t="s">
        <v>214</v>
      </c>
      <c r="D123" s="14" t="s">
        <v>215</v>
      </c>
      <c r="E123" s="26">
        <f t="shared" si="39"/>
        <v>24000000</v>
      </c>
      <c r="F123" s="26">
        <v>24000000</v>
      </c>
      <c r="G123" s="26">
        <v>0</v>
      </c>
      <c r="H123" s="26">
        <v>0</v>
      </c>
      <c r="I123" s="26"/>
      <c r="J123" s="26">
        <f t="shared" si="40"/>
        <v>0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f t="shared" si="41"/>
        <v>24000000</v>
      </c>
    </row>
    <row r="124" spans="1:16" x14ac:dyDescent="0.3">
      <c r="A124" s="20">
        <v>1217640</v>
      </c>
      <c r="B124" s="20">
        <v>7640</v>
      </c>
      <c r="C124" s="22" t="s">
        <v>312</v>
      </c>
      <c r="D124" s="14" t="s">
        <v>313</v>
      </c>
      <c r="E124" s="26"/>
      <c r="F124" s="26"/>
      <c r="G124" s="26"/>
      <c r="H124" s="26"/>
      <c r="I124" s="26"/>
      <c r="J124" s="26">
        <f t="shared" si="40"/>
        <v>24079.599999999999</v>
      </c>
      <c r="K124" s="26">
        <v>24079.599999999999</v>
      </c>
      <c r="L124" s="26"/>
      <c r="M124" s="26"/>
      <c r="N124" s="26"/>
      <c r="O124" s="26">
        <v>24079.599999999999</v>
      </c>
      <c r="P124" s="26">
        <f t="shared" si="41"/>
        <v>24079.599999999999</v>
      </c>
    </row>
    <row r="125" spans="1:16" ht="153.75" customHeight="1" x14ac:dyDescent="0.3">
      <c r="A125" s="22">
        <v>1217691</v>
      </c>
      <c r="B125" s="22">
        <v>7691</v>
      </c>
      <c r="C125" s="22" t="s">
        <v>56</v>
      </c>
      <c r="D125" s="14" t="s">
        <v>311</v>
      </c>
      <c r="E125" s="26">
        <f t="shared" si="39"/>
        <v>0</v>
      </c>
      <c r="F125" s="26"/>
      <c r="G125" s="26"/>
      <c r="H125" s="26"/>
      <c r="I125" s="26"/>
      <c r="J125" s="26">
        <f t="shared" si="40"/>
        <v>729312.90999999992</v>
      </c>
      <c r="K125" s="26"/>
      <c r="L125" s="26"/>
      <c r="M125" s="26"/>
      <c r="N125" s="26"/>
      <c r="O125" s="26">
        <f>75068+362171.8+190171.36+95881.85+6019.9</f>
        <v>729312.90999999992</v>
      </c>
      <c r="P125" s="26">
        <f t="shared" si="41"/>
        <v>729312.90999999992</v>
      </c>
    </row>
    <row r="126" spans="1:16" ht="31.2" x14ac:dyDescent="0.3">
      <c r="A126" s="20">
        <v>1217693</v>
      </c>
      <c r="B126" s="20">
        <v>7693</v>
      </c>
      <c r="C126" s="22" t="s">
        <v>56</v>
      </c>
      <c r="D126" s="14" t="s">
        <v>300</v>
      </c>
      <c r="E126" s="26">
        <f t="shared" si="39"/>
        <v>31844960</v>
      </c>
      <c r="F126" s="26"/>
      <c r="G126" s="26"/>
      <c r="H126" s="26"/>
      <c r="I126" s="26">
        <f>1667500+18114560+12062900</f>
        <v>31844960</v>
      </c>
      <c r="J126" s="26"/>
      <c r="K126" s="26"/>
      <c r="L126" s="26"/>
      <c r="M126" s="26"/>
      <c r="N126" s="26"/>
      <c r="O126" s="26"/>
      <c r="P126" s="26">
        <f t="shared" si="41"/>
        <v>31844960</v>
      </c>
    </row>
    <row r="127" spans="1:16" ht="46.8" x14ac:dyDescent="0.3">
      <c r="A127" s="20">
        <v>1218110</v>
      </c>
      <c r="B127" s="20">
        <v>8110</v>
      </c>
      <c r="C127" s="22" t="s">
        <v>279</v>
      </c>
      <c r="D127" s="14" t="s">
        <v>280</v>
      </c>
      <c r="E127" s="26">
        <f t="shared" si="39"/>
        <v>2476628.6800000002</v>
      </c>
      <c r="F127" s="26">
        <f>2232828.68+344600-100800</f>
        <v>2476628.6800000002</v>
      </c>
      <c r="G127" s="26"/>
      <c r="H127" s="26"/>
      <c r="I127" s="26"/>
      <c r="J127" s="26">
        <f t="shared" si="40"/>
        <v>3809114.6</v>
      </c>
      <c r="K127" s="26">
        <v>3809114.6</v>
      </c>
      <c r="L127" s="26"/>
      <c r="M127" s="26"/>
      <c r="N127" s="26"/>
      <c r="O127" s="26">
        <v>3809114.6</v>
      </c>
      <c r="P127" s="26">
        <f t="shared" si="41"/>
        <v>6285743.2800000003</v>
      </c>
    </row>
    <row r="128" spans="1:16" ht="31.2" x14ac:dyDescent="0.3">
      <c r="A128" s="20">
        <v>1218240</v>
      </c>
      <c r="B128" s="20">
        <v>8240</v>
      </c>
      <c r="C128" s="22" t="s">
        <v>60</v>
      </c>
      <c r="D128" s="14" t="s">
        <v>283</v>
      </c>
      <c r="E128" s="26">
        <f t="shared" si="39"/>
        <v>112500</v>
      </c>
      <c r="F128" s="26">
        <v>112500</v>
      </c>
      <c r="G128" s="26"/>
      <c r="H128" s="26"/>
      <c r="I128" s="26"/>
      <c r="J128" s="26"/>
      <c r="K128" s="26"/>
      <c r="L128" s="26"/>
      <c r="M128" s="26"/>
      <c r="N128" s="26"/>
      <c r="O128" s="26"/>
      <c r="P128" s="26">
        <f t="shared" si="41"/>
        <v>112500</v>
      </c>
    </row>
    <row r="129" spans="1:16" ht="31.2" x14ac:dyDescent="0.3">
      <c r="A129" s="13" t="s">
        <v>216</v>
      </c>
      <c r="B129" s="13" t="s">
        <v>66</v>
      </c>
      <c r="C129" s="13" t="s">
        <v>67</v>
      </c>
      <c r="D129" s="14" t="s">
        <v>68</v>
      </c>
      <c r="E129" s="26">
        <f t="shared" si="39"/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f t="shared" si="40"/>
        <v>701393.7</v>
      </c>
      <c r="K129" s="26">
        <v>0</v>
      </c>
      <c r="L129" s="26">
        <v>220000</v>
      </c>
      <c r="M129" s="26">
        <v>0</v>
      </c>
      <c r="N129" s="26">
        <v>0</v>
      </c>
      <c r="O129" s="26">
        <f>289000+192393.7</f>
        <v>481393.7</v>
      </c>
      <c r="P129" s="26">
        <f t="shared" ref="P129:P153" si="43">E129+J129</f>
        <v>701393.7</v>
      </c>
    </row>
    <row r="130" spans="1:16" ht="62.4" x14ac:dyDescent="0.3">
      <c r="A130" s="11" t="s">
        <v>217</v>
      </c>
      <c r="B130" s="11" t="s">
        <v>17</v>
      </c>
      <c r="C130" s="11" t="s">
        <v>17</v>
      </c>
      <c r="D130" s="12" t="s">
        <v>218</v>
      </c>
      <c r="E130" s="25">
        <f t="shared" ref="E130:E153" si="44">F130+I130</f>
        <v>7001935.1299999999</v>
      </c>
      <c r="F130" s="25">
        <f>F131</f>
        <v>4100800</v>
      </c>
      <c r="G130" s="25">
        <f>G131</f>
        <v>3733100</v>
      </c>
      <c r="H130" s="25">
        <f>H131</f>
        <v>0</v>
      </c>
      <c r="I130" s="25">
        <f>I131</f>
        <v>2901135.13</v>
      </c>
      <c r="J130" s="25">
        <f t="shared" ref="J130:J152" si="45">L130+O130</f>
        <v>120322881.29000001</v>
      </c>
      <c r="K130" s="25">
        <f>K131</f>
        <v>105996095.61000001</v>
      </c>
      <c r="L130" s="25">
        <f>L131</f>
        <v>0</v>
      </c>
      <c r="M130" s="25">
        <f>M131</f>
        <v>0</v>
      </c>
      <c r="N130" s="25">
        <f>N131</f>
        <v>0</v>
      </c>
      <c r="O130" s="25">
        <f>O131</f>
        <v>120322881.29000001</v>
      </c>
      <c r="P130" s="25">
        <f t="shared" si="43"/>
        <v>127324816.42</v>
      </c>
    </row>
    <row r="131" spans="1:16" ht="62.4" x14ac:dyDescent="0.3">
      <c r="A131" s="11" t="s">
        <v>219</v>
      </c>
      <c r="B131" s="11" t="s">
        <v>17</v>
      </c>
      <c r="C131" s="11" t="s">
        <v>17</v>
      </c>
      <c r="D131" s="12" t="s">
        <v>218</v>
      </c>
      <c r="E131" s="25">
        <f t="shared" si="44"/>
        <v>7001935.1299999999</v>
      </c>
      <c r="F131" s="25">
        <f>F132+F133+F134+F135+F136+F137+F138+F139+F140+F141+F142+F143+F144+F145+F146+F147+F148+F149+F150</f>
        <v>4100800</v>
      </c>
      <c r="G131" s="25">
        <f t="shared" ref="G131:K131" si="46">G132+G133+G134+G135+G136+G137+G138+G139+G140+G141+G142+G143+G144+G145+G146+G147+G148+G149+G150</f>
        <v>3733100</v>
      </c>
      <c r="H131" s="25">
        <f t="shared" si="46"/>
        <v>0</v>
      </c>
      <c r="I131" s="25">
        <f t="shared" si="46"/>
        <v>2901135.13</v>
      </c>
      <c r="J131" s="25">
        <f>L131+O131</f>
        <v>120322881.29000001</v>
      </c>
      <c r="K131" s="25">
        <f t="shared" si="46"/>
        <v>105996095.61000001</v>
      </c>
      <c r="L131" s="25">
        <f t="shared" ref="L131" si="47">L132+L133+L134+L135+L136+L137+L138+L139+L140+L141+L142+L143+L144+L145+L146+L147+L148+L149+L150</f>
        <v>0</v>
      </c>
      <c r="M131" s="25">
        <f t="shared" ref="M131" si="48">M132+M133+M134+M135+M136+M137+M138+M139+M140+M141+M142+M143+M144+M145+M146+M147+M148+M149+M150</f>
        <v>0</v>
      </c>
      <c r="N131" s="25">
        <f t="shared" ref="N131" si="49">N132+N133+N134+N135+N136+N137+N138+N139+N140+N141+N142+N143+N144+N145+N146+N147+N148+N149+N150</f>
        <v>0</v>
      </c>
      <c r="O131" s="25">
        <f t="shared" ref="O131" si="50">O132+O133+O134+O135+O136+O137+O138+O139+O140+O141+O142+O143+O144+O145+O146+O147+O148+O149+O150</f>
        <v>120322881.29000001</v>
      </c>
      <c r="P131" s="25">
        <f t="shared" si="43"/>
        <v>127324816.42</v>
      </c>
    </row>
    <row r="132" spans="1:16" ht="93.6" x14ac:dyDescent="0.3">
      <c r="A132" s="22">
        <v>1510150</v>
      </c>
      <c r="B132" s="22">
        <v>150</v>
      </c>
      <c r="C132" s="22" t="s">
        <v>22</v>
      </c>
      <c r="D132" s="14" t="s">
        <v>23</v>
      </c>
      <c r="E132" s="26">
        <f t="shared" si="44"/>
        <v>0</v>
      </c>
      <c r="F132" s="26"/>
      <c r="G132" s="26"/>
      <c r="H132" s="26"/>
      <c r="I132" s="26"/>
      <c r="J132" s="26">
        <f t="shared" si="45"/>
        <v>550229.42000000004</v>
      </c>
      <c r="K132" s="26">
        <v>550229.42000000004</v>
      </c>
      <c r="L132" s="26"/>
      <c r="M132" s="26"/>
      <c r="N132" s="26"/>
      <c r="O132" s="26">
        <v>550229.42000000004</v>
      </c>
      <c r="P132" s="26">
        <f t="shared" si="43"/>
        <v>550229.42000000004</v>
      </c>
    </row>
    <row r="133" spans="1:16" ht="61.2" customHeight="1" x14ac:dyDescent="0.3">
      <c r="A133" s="13" t="s">
        <v>220</v>
      </c>
      <c r="B133" s="13" t="s">
        <v>72</v>
      </c>
      <c r="C133" s="13" t="s">
        <v>22</v>
      </c>
      <c r="D133" s="14" t="s">
        <v>73</v>
      </c>
      <c r="E133" s="26">
        <f t="shared" si="44"/>
        <v>3850800</v>
      </c>
      <c r="F133" s="26">
        <f>3682500+168300</f>
        <v>3850800</v>
      </c>
      <c r="G133" s="26">
        <f>3575800+157300</f>
        <v>3733100</v>
      </c>
      <c r="H133" s="26">
        <v>0</v>
      </c>
      <c r="I133" s="26">
        <v>0</v>
      </c>
      <c r="J133" s="26">
        <f t="shared" si="45"/>
        <v>69000</v>
      </c>
      <c r="K133" s="26">
        <v>69000</v>
      </c>
      <c r="L133" s="26">
        <v>0</v>
      </c>
      <c r="M133" s="26">
        <v>0</v>
      </c>
      <c r="N133" s="26">
        <v>0</v>
      </c>
      <c r="O133" s="26">
        <v>69000</v>
      </c>
      <c r="P133" s="26">
        <f t="shared" si="43"/>
        <v>3919800</v>
      </c>
    </row>
    <row r="134" spans="1:16" ht="31.2" x14ac:dyDescent="0.3">
      <c r="A134" s="13" t="s">
        <v>221</v>
      </c>
      <c r="B134" s="13" t="s">
        <v>28</v>
      </c>
      <c r="C134" s="13" t="s">
        <v>29</v>
      </c>
      <c r="D134" s="14" t="s">
        <v>30</v>
      </c>
      <c r="E134" s="26">
        <f t="shared" si="44"/>
        <v>250000</v>
      </c>
      <c r="F134" s="26">
        <v>250000</v>
      </c>
      <c r="G134" s="26">
        <v>0</v>
      </c>
      <c r="H134" s="26">
        <v>0</v>
      </c>
      <c r="I134" s="26">
        <v>0</v>
      </c>
      <c r="J134" s="26">
        <f t="shared" si="45"/>
        <v>0</v>
      </c>
      <c r="K134" s="26">
        <v>0</v>
      </c>
      <c r="L134" s="26">
        <v>0</v>
      </c>
      <c r="M134" s="26">
        <v>0</v>
      </c>
      <c r="N134" s="26">
        <v>0</v>
      </c>
      <c r="O134" s="26">
        <v>0</v>
      </c>
      <c r="P134" s="26">
        <f t="shared" si="43"/>
        <v>250000</v>
      </c>
    </row>
    <row r="135" spans="1:16" ht="31.2" x14ac:dyDescent="0.3">
      <c r="A135" s="22">
        <v>1512010</v>
      </c>
      <c r="B135" s="22">
        <v>2010</v>
      </c>
      <c r="C135" s="22" t="s">
        <v>33</v>
      </c>
      <c r="D135" s="14" t="s">
        <v>34</v>
      </c>
      <c r="E135" s="26">
        <f t="shared" si="44"/>
        <v>0</v>
      </c>
      <c r="F135" s="26"/>
      <c r="G135" s="26"/>
      <c r="H135" s="26"/>
      <c r="I135" s="26"/>
      <c r="J135" s="26">
        <f t="shared" si="45"/>
        <v>13568240.16</v>
      </c>
      <c r="K135" s="26">
        <f>11568240.16+2000000</f>
        <v>13568240.16</v>
      </c>
      <c r="L135" s="26"/>
      <c r="M135" s="26"/>
      <c r="N135" s="26"/>
      <c r="O135" s="26">
        <f>11568240.16+2000000</f>
        <v>13568240.16</v>
      </c>
      <c r="P135" s="26">
        <f t="shared" si="43"/>
        <v>13568240.16</v>
      </c>
    </row>
    <row r="136" spans="1:16" ht="31.2" x14ac:dyDescent="0.3">
      <c r="A136" s="22" t="s">
        <v>321</v>
      </c>
      <c r="B136" s="22" t="s">
        <v>322</v>
      </c>
      <c r="C136" s="22" t="s">
        <v>309</v>
      </c>
      <c r="D136" s="14" t="s">
        <v>310</v>
      </c>
      <c r="E136" s="26">
        <f t="shared" si="44"/>
        <v>0</v>
      </c>
      <c r="F136" s="26"/>
      <c r="G136" s="26"/>
      <c r="H136" s="26"/>
      <c r="I136" s="26"/>
      <c r="J136" s="26">
        <f t="shared" si="45"/>
        <v>8450377.8000000007</v>
      </c>
      <c r="K136" s="26">
        <v>8450377.8000000007</v>
      </c>
      <c r="L136" s="26"/>
      <c r="M136" s="26"/>
      <c r="N136" s="26"/>
      <c r="O136" s="26">
        <v>8450377.8000000007</v>
      </c>
      <c r="P136" s="26">
        <f t="shared" si="43"/>
        <v>8450377.8000000007</v>
      </c>
    </row>
    <row r="137" spans="1:16" ht="46.8" x14ac:dyDescent="0.3">
      <c r="A137" s="22" t="s">
        <v>375</v>
      </c>
      <c r="B137" s="22" t="s">
        <v>204</v>
      </c>
      <c r="C137" s="22" t="s">
        <v>52</v>
      </c>
      <c r="D137" s="14" t="s">
        <v>205</v>
      </c>
      <c r="E137" s="26"/>
      <c r="F137" s="26"/>
      <c r="G137" s="26"/>
      <c r="H137" s="26"/>
      <c r="I137" s="26"/>
      <c r="J137" s="26">
        <f t="shared" si="45"/>
        <v>16360000</v>
      </c>
      <c r="K137" s="26">
        <v>16360000</v>
      </c>
      <c r="L137" s="26"/>
      <c r="M137" s="26"/>
      <c r="N137" s="26"/>
      <c r="O137" s="26">
        <v>16360000</v>
      </c>
      <c r="P137" s="26">
        <f t="shared" si="43"/>
        <v>16360000</v>
      </c>
    </row>
    <row r="138" spans="1:16" ht="31.2" x14ac:dyDescent="0.3">
      <c r="A138" s="22" t="s">
        <v>323</v>
      </c>
      <c r="B138" s="22" t="s">
        <v>324</v>
      </c>
      <c r="C138" s="22" t="s">
        <v>52</v>
      </c>
      <c r="D138" s="14" t="s">
        <v>325</v>
      </c>
      <c r="E138" s="26">
        <f t="shared" si="44"/>
        <v>0</v>
      </c>
      <c r="F138" s="26"/>
      <c r="G138" s="26"/>
      <c r="H138" s="26"/>
      <c r="I138" s="26"/>
      <c r="J138" s="26">
        <f t="shared" si="45"/>
        <v>1700210</v>
      </c>
      <c r="K138" s="26">
        <v>1700210</v>
      </c>
      <c r="L138" s="26"/>
      <c r="M138" s="26"/>
      <c r="N138" s="26"/>
      <c r="O138" s="26">
        <v>1700210</v>
      </c>
      <c r="P138" s="26">
        <f t="shared" si="43"/>
        <v>1700210</v>
      </c>
    </row>
    <row r="139" spans="1:16" ht="31.2" x14ac:dyDescent="0.3">
      <c r="A139" s="22" t="s">
        <v>326</v>
      </c>
      <c r="B139" s="22" t="s">
        <v>207</v>
      </c>
      <c r="C139" s="22" t="s">
        <v>52</v>
      </c>
      <c r="D139" s="14" t="s">
        <v>208</v>
      </c>
      <c r="E139" s="26">
        <f t="shared" si="44"/>
        <v>0</v>
      </c>
      <c r="F139" s="26"/>
      <c r="G139" s="26"/>
      <c r="H139" s="26"/>
      <c r="I139" s="26"/>
      <c r="J139" s="26">
        <f t="shared" si="45"/>
        <v>2200038.56</v>
      </c>
      <c r="K139" s="26">
        <v>2200038.56</v>
      </c>
      <c r="L139" s="26"/>
      <c r="M139" s="26"/>
      <c r="N139" s="26"/>
      <c r="O139" s="26">
        <v>2200038.56</v>
      </c>
      <c r="P139" s="26">
        <f t="shared" si="43"/>
        <v>2200038.56</v>
      </c>
    </row>
    <row r="140" spans="1:16" ht="31.2" x14ac:dyDescent="0.3">
      <c r="A140" s="22" t="s">
        <v>327</v>
      </c>
      <c r="B140" s="22" t="s">
        <v>51</v>
      </c>
      <c r="C140" s="22" t="s">
        <v>52</v>
      </c>
      <c r="D140" s="14" t="s">
        <v>53</v>
      </c>
      <c r="E140" s="26">
        <f t="shared" si="44"/>
        <v>0</v>
      </c>
      <c r="F140" s="26"/>
      <c r="G140" s="26"/>
      <c r="H140" s="26"/>
      <c r="I140" s="26"/>
      <c r="J140" s="26">
        <f t="shared" si="45"/>
        <v>6061951.1600000001</v>
      </c>
      <c r="K140" s="26">
        <v>6061951.1600000001</v>
      </c>
      <c r="L140" s="26"/>
      <c r="M140" s="26"/>
      <c r="N140" s="26"/>
      <c r="O140" s="26">
        <v>6061951.1600000001</v>
      </c>
      <c r="P140" s="26">
        <f t="shared" si="43"/>
        <v>6061951.1600000001</v>
      </c>
    </row>
    <row r="141" spans="1:16" ht="78" x14ac:dyDescent="0.3">
      <c r="A141" s="22" t="s">
        <v>362</v>
      </c>
      <c r="B141" s="22">
        <v>6050</v>
      </c>
      <c r="C141" s="22" t="s">
        <v>52</v>
      </c>
      <c r="D141" s="14" t="s">
        <v>314</v>
      </c>
      <c r="E141" s="26">
        <f>F141+I141</f>
        <v>681135.13</v>
      </c>
      <c r="F141" s="26"/>
      <c r="G141" s="26"/>
      <c r="H141" s="28"/>
      <c r="I141" s="26">
        <v>681135.13</v>
      </c>
      <c r="J141" s="26">
        <f t="shared" si="45"/>
        <v>1188551</v>
      </c>
      <c r="K141" s="26">
        <v>1188551</v>
      </c>
      <c r="L141" s="26"/>
      <c r="M141" s="26"/>
      <c r="N141" s="26"/>
      <c r="O141" s="26">
        <v>1188551</v>
      </c>
      <c r="P141" s="26">
        <f t="shared" si="43"/>
        <v>1869686.13</v>
      </c>
    </row>
    <row r="142" spans="1:16" ht="31.2" x14ac:dyDescent="0.3">
      <c r="A142" s="22" t="s">
        <v>328</v>
      </c>
      <c r="B142" s="22" t="s">
        <v>316</v>
      </c>
      <c r="C142" s="22" t="s">
        <v>275</v>
      </c>
      <c r="D142" s="14" t="s">
        <v>317</v>
      </c>
      <c r="E142" s="26">
        <f t="shared" si="44"/>
        <v>0</v>
      </c>
      <c r="F142" s="26"/>
      <c r="G142" s="26"/>
      <c r="H142" s="26"/>
      <c r="I142" s="26"/>
      <c r="J142" s="26">
        <f t="shared" si="45"/>
        <v>13522000</v>
      </c>
      <c r="K142" s="26">
        <f>3450000+8172000+1900000</f>
        <v>13522000</v>
      </c>
      <c r="L142" s="26"/>
      <c r="M142" s="26"/>
      <c r="N142" s="26"/>
      <c r="O142" s="26">
        <f>3450000+8172000+1900000</f>
        <v>13522000</v>
      </c>
      <c r="P142" s="26">
        <f t="shared" si="43"/>
        <v>13522000</v>
      </c>
    </row>
    <row r="143" spans="1:16" ht="31.2" x14ac:dyDescent="0.3">
      <c r="A143" s="22" t="s">
        <v>329</v>
      </c>
      <c r="B143" s="22" t="s">
        <v>330</v>
      </c>
      <c r="C143" s="22" t="s">
        <v>275</v>
      </c>
      <c r="D143" s="14" t="s">
        <v>331</v>
      </c>
      <c r="E143" s="26">
        <f t="shared" si="44"/>
        <v>0</v>
      </c>
      <c r="F143" s="26"/>
      <c r="G143" s="26"/>
      <c r="H143" s="26"/>
      <c r="I143" s="26"/>
      <c r="J143" s="26">
        <f t="shared" si="45"/>
        <v>7177841.5800000001</v>
      </c>
      <c r="K143" s="26">
        <v>7177841.5800000001</v>
      </c>
      <c r="L143" s="26"/>
      <c r="M143" s="26"/>
      <c r="N143" s="26"/>
      <c r="O143" s="26">
        <v>7177841.5800000001</v>
      </c>
      <c r="P143" s="26">
        <f t="shared" si="43"/>
        <v>7177841.5800000001</v>
      </c>
    </row>
    <row r="144" spans="1:16" ht="46.8" x14ac:dyDescent="0.3">
      <c r="A144" s="22" t="s">
        <v>332</v>
      </c>
      <c r="B144" s="22" t="s">
        <v>319</v>
      </c>
      <c r="C144" s="22" t="s">
        <v>56</v>
      </c>
      <c r="D144" s="14" t="s">
        <v>320</v>
      </c>
      <c r="E144" s="26">
        <f t="shared" si="44"/>
        <v>2220000</v>
      </c>
      <c r="F144" s="26"/>
      <c r="G144" s="26"/>
      <c r="H144" s="26"/>
      <c r="I144" s="26">
        <v>2220000</v>
      </c>
      <c r="J144" s="26">
        <f t="shared" si="45"/>
        <v>12433688.050000001</v>
      </c>
      <c r="K144" s="26">
        <f>11838088.05+350000+245600</f>
        <v>12433688.050000001</v>
      </c>
      <c r="L144" s="26"/>
      <c r="M144" s="26"/>
      <c r="N144" s="26"/>
      <c r="O144" s="26">
        <f>11838088.05+350000+245600</f>
        <v>12433688.050000001</v>
      </c>
      <c r="P144" s="26">
        <f t="shared" si="43"/>
        <v>14653688.050000001</v>
      </c>
    </row>
    <row r="145" spans="1:16" ht="31.2" x14ac:dyDescent="0.3">
      <c r="A145" s="22" t="s">
        <v>333</v>
      </c>
      <c r="B145" s="22" t="s">
        <v>334</v>
      </c>
      <c r="C145" s="22" t="s">
        <v>56</v>
      </c>
      <c r="D145" s="14" t="s">
        <v>335</v>
      </c>
      <c r="E145" s="26">
        <f t="shared" si="44"/>
        <v>0</v>
      </c>
      <c r="F145" s="26"/>
      <c r="G145" s="26"/>
      <c r="H145" s="26"/>
      <c r="I145" s="26"/>
      <c r="J145" s="26">
        <f t="shared" si="45"/>
        <v>1289432</v>
      </c>
      <c r="K145" s="26">
        <v>1289432</v>
      </c>
      <c r="L145" s="26"/>
      <c r="M145" s="26"/>
      <c r="N145" s="26"/>
      <c r="O145" s="26">
        <v>1289432</v>
      </c>
      <c r="P145" s="26">
        <f t="shared" si="43"/>
        <v>1289432</v>
      </c>
    </row>
    <row r="146" spans="1:16" x14ac:dyDescent="0.3">
      <c r="A146" s="22" t="s">
        <v>336</v>
      </c>
      <c r="B146" s="22" t="s">
        <v>337</v>
      </c>
      <c r="C146" s="22" t="s">
        <v>312</v>
      </c>
      <c r="D146" s="14" t="s">
        <v>313</v>
      </c>
      <c r="E146" s="26">
        <f t="shared" si="44"/>
        <v>0</v>
      </c>
      <c r="F146" s="26"/>
      <c r="G146" s="26"/>
      <c r="H146" s="26"/>
      <c r="I146" s="26"/>
      <c r="J146" s="26">
        <f t="shared" si="45"/>
        <v>6867868.9800000004</v>
      </c>
      <c r="K146" s="26">
        <f>2885468.98+3982400</f>
        <v>6867868.9800000004</v>
      </c>
      <c r="L146" s="26"/>
      <c r="M146" s="26"/>
      <c r="N146" s="26"/>
      <c r="O146" s="26">
        <f>2885468.98+3982400</f>
        <v>6867868.9800000004</v>
      </c>
      <c r="P146" s="26">
        <f t="shared" si="43"/>
        <v>6867868.9800000004</v>
      </c>
    </row>
    <row r="147" spans="1:16" ht="154.5" customHeight="1" x14ac:dyDescent="0.3">
      <c r="A147" s="22" t="s">
        <v>338</v>
      </c>
      <c r="B147" s="22" t="s">
        <v>339</v>
      </c>
      <c r="C147" s="22" t="s">
        <v>56</v>
      </c>
      <c r="D147" s="14" t="s">
        <v>311</v>
      </c>
      <c r="E147" s="26">
        <f t="shared" si="44"/>
        <v>0</v>
      </c>
      <c r="F147" s="26"/>
      <c r="G147" s="26"/>
      <c r="H147" s="26"/>
      <c r="I147" s="26"/>
      <c r="J147" s="26">
        <f t="shared" si="45"/>
        <v>13342373.939999999</v>
      </c>
      <c r="K147" s="26"/>
      <c r="L147" s="26"/>
      <c r="M147" s="26"/>
      <c r="N147" s="26"/>
      <c r="O147" s="26">
        <v>13342373.939999999</v>
      </c>
      <c r="P147" s="26">
        <f t="shared" si="43"/>
        <v>13342373.939999999</v>
      </c>
    </row>
    <row r="148" spans="1:16" ht="46.8" x14ac:dyDescent="0.3">
      <c r="A148" s="22" t="s">
        <v>340</v>
      </c>
      <c r="B148" s="22" t="s">
        <v>278</v>
      </c>
      <c r="C148" s="22" t="s">
        <v>279</v>
      </c>
      <c r="D148" s="14" t="s">
        <v>280</v>
      </c>
      <c r="E148" s="26">
        <f t="shared" si="44"/>
        <v>0</v>
      </c>
      <c r="F148" s="26"/>
      <c r="G148" s="26"/>
      <c r="H148" s="26"/>
      <c r="I148" s="26"/>
      <c r="J148" s="26">
        <f t="shared" si="45"/>
        <v>14423146.9</v>
      </c>
      <c r="K148" s="26">
        <f>15731896.9-1308750</f>
        <v>14423146.9</v>
      </c>
      <c r="L148" s="26"/>
      <c r="M148" s="26"/>
      <c r="N148" s="26"/>
      <c r="O148" s="26">
        <f>15731896.9-1308750</f>
        <v>14423146.9</v>
      </c>
      <c r="P148" s="26">
        <f t="shared" si="43"/>
        <v>14423146.9</v>
      </c>
    </row>
    <row r="149" spans="1:16" ht="31.2" x14ac:dyDescent="0.3">
      <c r="A149" s="22" t="s">
        <v>341</v>
      </c>
      <c r="B149" s="22" t="s">
        <v>342</v>
      </c>
      <c r="C149" s="22" t="s">
        <v>343</v>
      </c>
      <c r="D149" s="14" t="s">
        <v>344</v>
      </c>
      <c r="E149" s="26">
        <f t="shared" si="44"/>
        <v>0</v>
      </c>
      <c r="F149" s="26"/>
      <c r="G149" s="26"/>
      <c r="H149" s="26"/>
      <c r="I149" s="26"/>
      <c r="J149" s="26">
        <f t="shared" si="45"/>
        <v>133520</v>
      </c>
      <c r="K149" s="26">
        <v>133520</v>
      </c>
      <c r="L149" s="26"/>
      <c r="M149" s="26"/>
      <c r="N149" s="26"/>
      <c r="O149" s="26">
        <f>915345-781825</f>
        <v>133520</v>
      </c>
      <c r="P149" s="26">
        <f t="shared" si="43"/>
        <v>133520</v>
      </c>
    </row>
    <row r="150" spans="1:16" ht="31.2" x14ac:dyDescent="0.3">
      <c r="A150" s="22" t="s">
        <v>345</v>
      </c>
      <c r="B150" s="22" t="s">
        <v>66</v>
      </c>
      <c r="C150" s="22" t="s">
        <v>67</v>
      </c>
      <c r="D150" s="14" t="s">
        <v>68</v>
      </c>
      <c r="E150" s="26">
        <f t="shared" si="44"/>
        <v>0</v>
      </c>
      <c r="F150" s="26"/>
      <c r="G150" s="26"/>
      <c r="H150" s="26"/>
      <c r="I150" s="26"/>
      <c r="J150" s="26">
        <f t="shared" si="45"/>
        <v>984411.74</v>
      </c>
      <c r="K150" s="26"/>
      <c r="L150" s="26"/>
      <c r="M150" s="26"/>
      <c r="N150" s="26"/>
      <c r="O150" s="26">
        <f>202586.74+781825</f>
        <v>984411.74</v>
      </c>
      <c r="P150" s="26">
        <f t="shared" si="43"/>
        <v>984411.74</v>
      </c>
    </row>
    <row r="151" spans="1:16" ht="62.4" x14ac:dyDescent="0.3">
      <c r="A151" s="11" t="s">
        <v>222</v>
      </c>
      <c r="B151" s="11" t="s">
        <v>17</v>
      </c>
      <c r="C151" s="11" t="s">
        <v>17</v>
      </c>
      <c r="D151" s="12" t="s">
        <v>223</v>
      </c>
      <c r="E151" s="25">
        <f t="shared" si="44"/>
        <v>22497600</v>
      </c>
      <c r="F151" s="25">
        <f>F152</f>
        <v>3421800</v>
      </c>
      <c r="G151" s="25">
        <f>G152</f>
        <v>2818100</v>
      </c>
      <c r="H151" s="25">
        <f>H152</f>
        <v>0</v>
      </c>
      <c r="I151" s="25">
        <f>I152</f>
        <v>19075800</v>
      </c>
      <c r="J151" s="25">
        <f t="shared" si="45"/>
        <v>580000</v>
      </c>
      <c r="K151" s="25">
        <f>K152</f>
        <v>580000</v>
      </c>
      <c r="L151" s="25">
        <f>L152</f>
        <v>0</v>
      </c>
      <c r="M151" s="25">
        <f>M152</f>
        <v>0</v>
      </c>
      <c r="N151" s="25">
        <f>N152</f>
        <v>0</v>
      </c>
      <c r="O151" s="25">
        <f>O152</f>
        <v>580000</v>
      </c>
      <c r="P151" s="25">
        <f t="shared" si="43"/>
        <v>23077600</v>
      </c>
    </row>
    <row r="152" spans="1:16" ht="62.4" x14ac:dyDescent="0.3">
      <c r="A152" s="11" t="s">
        <v>224</v>
      </c>
      <c r="B152" s="11" t="s">
        <v>17</v>
      </c>
      <c r="C152" s="11" t="s">
        <v>17</v>
      </c>
      <c r="D152" s="12" t="s">
        <v>223</v>
      </c>
      <c r="E152" s="25">
        <f t="shared" si="44"/>
        <v>22497600</v>
      </c>
      <c r="F152" s="25">
        <f>F153+F154+F155+F156+F157+F158+F159</f>
        <v>3421800</v>
      </c>
      <c r="G152" s="25">
        <f t="shared" ref="G152:K152" si="51">G153+G154+G155+G156+G157+G158+G159</f>
        <v>2818100</v>
      </c>
      <c r="H152" s="25">
        <f t="shared" si="51"/>
        <v>0</v>
      </c>
      <c r="I152" s="25">
        <f t="shared" si="51"/>
        <v>19075800</v>
      </c>
      <c r="J152" s="25">
        <f t="shared" si="45"/>
        <v>580000</v>
      </c>
      <c r="K152" s="25">
        <f t="shared" si="51"/>
        <v>580000</v>
      </c>
      <c r="L152" s="25">
        <f t="shared" ref="L152" si="52">L153+L154+L155+L156+L157+L158+L159</f>
        <v>0</v>
      </c>
      <c r="M152" s="25">
        <f t="shared" ref="M152" si="53">M153+M154+M155+M156+M157+M158+M159</f>
        <v>0</v>
      </c>
      <c r="N152" s="25">
        <f t="shared" ref="N152" si="54">N153+N154+N155+N156+N157+N158+N159</f>
        <v>0</v>
      </c>
      <c r="O152" s="25">
        <f t="shared" ref="O152" si="55">O153+O154+O155+O156+O157+O158+O159</f>
        <v>580000</v>
      </c>
      <c r="P152" s="25">
        <f t="shared" si="43"/>
        <v>23077600</v>
      </c>
    </row>
    <row r="153" spans="1:16" ht="64.95" customHeight="1" x14ac:dyDescent="0.3">
      <c r="A153" s="13" t="s">
        <v>225</v>
      </c>
      <c r="B153" s="13" t="s">
        <v>72</v>
      </c>
      <c r="C153" s="13" t="s">
        <v>22</v>
      </c>
      <c r="D153" s="14" t="s">
        <v>73</v>
      </c>
      <c r="E153" s="26">
        <f t="shared" si="44"/>
        <v>2892200</v>
      </c>
      <c r="F153" s="26">
        <v>2892200</v>
      </c>
      <c r="G153" s="26">
        <v>2818100</v>
      </c>
      <c r="H153" s="26">
        <v>0</v>
      </c>
      <c r="I153" s="26">
        <v>0</v>
      </c>
      <c r="J153" s="26">
        <v>30000</v>
      </c>
      <c r="K153" s="26">
        <v>30000</v>
      </c>
      <c r="L153" s="26">
        <v>0</v>
      </c>
      <c r="M153" s="26">
        <v>0</v>
      </c>
      <c r="N153" s="26">
        <v>0</v>
      </c>
      <c r="O153" s="26">
        <v>30000</v>
      </c>
      <c r="P153" s="26">
        <f t="shared" si="43"/>
        <v>2922200</v>
      </c>
    </row>
    <row r="154" spans="1:16" ht="31.2" x14ac:dyDescent="0.3">
      <c r="A154" s="13" t="s">
        <v>226</v>
      </c>
      <c r="B154" s="13" t="s">
        <v>28</v>
      </c>
      <c r="C154" s="13" t="s">
        <v>29</v>
      </c>
      <c r="D154" s="14" t="s">
        <v>30</v>
      </c>
      <c r="E154" s="26">
        <f t="shared" ref="E154:E159" si="56">F154+I154</f>
        <v>149000</v>
      </c>
      <c r="F154" s="26">
        <v>149000</v>
      </c>
      <c r="G154" s="26">
        <v>0</v>
      </c>
      <c r="H154" s="26">
        <v>0</v>
      </c>
      <c r="I154" s="26">
        <v>0</v>
      </c>
      <c r="J154" s="26">
        <f t="shared" ref="J154:J162" si="57">L154+O154</f>
        <v>0</v>
      </c>
      <c r="K154" s="26">
        <v>0</v>
      </c>
      <c r="L154" s="26">
        <v>0</v>
      </c>
      <c r="M154" s="26">
        <v>0</v>
      </c>
      <c r="N154" s="26">
        <v>0</v>
      </c>
      <c r="O154" s="26">
        <v>0</v>
      </c>
      <c r="P154" s="26">
        <f t="shared" ref="P154:P162" si="58">E154+J154</f>
        <v>149000</v>
      </c>
    </row>
    <row r="155" spans="1:16" ht="46.8" x14ac:dyDescent="0.3">
      <c r="A155" s="13" t="s">
        <v>227</v>
      </c>
      <c r="B155" s="13" t="s">
        <v>210</v>
      </c>
      <c r="C155" s="13" t="s">
        <v>52</v>
      </c>
      <c r="D155" s="14" t="s">
        <v>299</v>
      </c>
      <c r="E155" s="26">
        <f t="shared" si="56"/>
        <v>60000</v>
      </c>
      <c r="F155" s="26">
        <v>60000</v>
      </c>
      <c r="G155" s="26">
        <v>0</v>
      </c>
      <c r="H155" s="26">
        <v>0</v>
      </c>
      <c r="I155" s="26">
        <v>0</v>
      </c>
      <c r="J155" s="26">
        <f t="shared" si="57"/>
        <v>0</v>
      </c>
      <c r="K155" s="26">
        <v>0</v>
      </c>
      <c r="L155" s="26">
        <v>0</v>
      </c>
      <c r="M155" s="26">
        <v>0</v>
      </c>
      <c r="N155" s="26">
        <v>0</v>
      </c>
      <c r="O155" s="26">
        <v>0</v>
      </c>
      <c r="P155" s="26">
        <f t="shared" si="58"/>
        <v>60000</v>
      </c>
    </row>
    <row r="156" spans="1:16" x14ac:dyDescent="0.3">
      <c r="A156" s="13" t="s">
        <v>228</v>
      </c>
      <c r="B156" s="13" t="s">
        <v>229</v>
      </c>
      <c r="C156" s="13" t="s">
        <v>230</v>
      </c>
      <c r="D156" s="14" t="s">
        <v>231</v>
      </c>
      <c r="E156" s="26">
        <f t="shared" si="56"/>
        <v>200000</v>
      </c>
      <c r="F156" s="26">
        <v>200000</v>
      </c>
      <c r="G156" s="26">
        <v>0</v>
      </c>
      <c r="H156" s="26">
        <v>0</v>
      </c>
      <c r="I156" s="26">
        <v>0</v>
      </c>
      <c r="J156" s="26">
        <f t="shared" si="57"/>
        <v>0</v>
      </c>
      <c r="K156" s="26">
        <v>0</v>
      </c>
      <c r="L156" s="26">
        <v>0</v>
      </c>
      <c r="M156" s="26">
        <v>0</v>
      </c>
      <c r="N156" s="26">
        <v>0</v>
      </c>
      <c r="O156" s="26">
        <v>0</v>
      </c>
      <c r="P156" s="26">
        <f t="shared" si="58"/>
        <v>200000</v>
      </c>
    </row>
    <row r="157" spans="1:16" ht="31.2" x14ac:dyDescent="0.3">
      <c r="A157" s="13" t="s">
        <v>232</v>
      </c>
      <c r="B157" s="13" t="s">
        <v>233</v>
      </c>
      <c r="C157" s="13" t="s">
        <v>56</v>
      </c>
      <c r="D157" s="14" t="s">
        <v>300</v>
      </c>
      <c r="E157" s="26">
        <f t="shared" si="56"/>
        <v>19075800</v>
      </c>
      <c r="F157" s="26">
        <v>0</v>
      </c>
      <c r="G157" s="26">
        <v>0</v>
      </c>
      <c r="H157" s="26">
        <v>0</v>
      </c>
      <c r="I157" s="26">
        <f>17636500+1439300</f>
        <v>19075800</v>
      </c>
      <c r="J157" s="26">
        <f t="shared" si="57"/>
        <v>550000</v>
      </c>
      <c r="K157" s="26">
        <v>550000</v>
      </c>
      <c r="L157" s="26">
        <v>0</v>
      </c>
      <c r="M157" s="26">
        <v>0</v>
      </c>
      <c r="N157" s="26">
        <v>0</v>
      </c>
      <c r="O157" s="26">
        <v>550000</v>
      </c>
      <c r="P157" s="26">
        <f t="shared" si="58"/>
        <v>19625800</v>
      </c>
    </row>
    <row r="158" spans="1:16" ht="46.8" x14ac:dyDescent="0.3">
      <c r="A158" s="20">
        <v>3118110</v>
      </c>
      <c r="B158" s="20">
        <v>8110</v>
      </c>
      <c r="C158" s="22" t="s">
        <v>279</v>
      </c>
      <c r="D158" s="14" t="s">
        <v>280</v>
      </c>
      <c r="E158" s="26">
        <f t="shared" si="56"/>
        <v>20600</v>
      </c>
      <c r="F158" s="26">
        <v>20600</v>
      </c>
      <c r="G158" s="26"/>
      <c r="H158" s="26"/>
      <c r="I158" s="26"/>
      <c r="J158" s="26"/>
      <c r="K158" s="26"/>
      <c r="L158" s="26"/>
      <c r="M158" s="26"/>
      <c r="N158" s="26"/>
      <c r="O158" s="26"/>
      <c r="P158" s="26">
        <f t="shared" si="58"/>
        <v>20600</v>
      </c>
    </row>
    <row r="159" spans="1:16" ht="31.2" x14ac:dyDescent="0.3">
      <c r="A159" s="22">
        <v>3118240</v>
      </c>
      <c r="B159" s="22">
        <v>8240</v>
      </c>
      <c r="C159" s="22" t="s">
        <v>60</v>
      </c>
      <c r="D159" s="14" t="s">
        <v>283</v>
      </c>
      <c r="E159" s="26">
        <f t="shared" si="56"/>
        <v>100000</v>
      </c>
      <c r="F159" s="26">
        <v>100000</v>
      </c>
      <c r="G159" s="26"/>
      <c r="H159" s="26"/>
      <c r="I159" s="26"/>
      <c r="J159" s="26">
        <f t="shared" si="57"/>
        <v>0</v>
      </c>
      <c r="K159" s="26"/>
      <c r="L159" s="26"/>
      <c r="M159" s="26"/>
      <c r="N159" s="26"/>
      <c r="O159" s="26"/>
      <c r="P159" s="26">
        <f t="shared" si="58"/>
        <v>100000</v>
      </c>
    </row>
    <row r="160" spans="1:16" ht="46.8" x14ac:dyDescent="0.3">
      <c r="A160" s="11" t="s">
        <v>234</v>
      </c>
      <c r="B160" s="11" t="s">
        <v>17</v>
      </c>
      <c r="C160" s="11" t="s">
        <v>17</v>
      </c>
      <c r="D160" s="12" t="s">
        <v>235</v>
      </c>
      <c r="E160" s="25">
        <f>E161</f>
        <v>35209850</v>
      </c>
      <c r="F160" s="25">
        <f>F161</f>
        <v>23209850</v>
      </c>
      <c r="G160" s="25">
        <f>G161</f>
        <v>4732000</v>
      </c>
      <c r="H160" s="25">
        <f>H161</f>
        <v>0</v>
      </c>
      <c r="I160" s="25">
        <f>I161</f>
        <v>0</v>
      </c>
      <c r="J160" s="25">
        <f t="shared" si="57"/>
        <v>790250</v>
      </c>
      <c r="K160" s="25">
        <f>K161</f>
        <v>790250</v>
      </c>
      <c r="L160" s="25">
        <f>L161</f>
        <v>0</v>
      </c>
      <c r="M160" s="25">
        <f>M161</f>
        <v>0</v>
      </c>
      <c r="N160" s="25">
        <f>N161</f>
        <v>0</v>
      </c>
      <c r="O160" s="25">
        <f>O161</f>
        <v>790250</v>
      </c>
      <c r="P160" s="25">
        <f t="shared" si="58"/>
        <v>36000100</v>
      </c>
    </row>
    <row r="161" spans="1:16" ht="46.8" x14ac:dyDescent="0.3">
      <c r="A161" s="11" t="s">
        <v>236</v>
      </c>
      <c r="B161" s="11" t="s">
        <v>17</v>
      </c>
      <c r="C161" s="11" t="s">
        <v>17</v>
      </c>
      <c r="D161" s="12" t="s">
        <v>235</v>
      </c>
      <c r="E161" s="25">
        <f>E162+E163+E164+E165+E166+E170</f>
        <v>35209850</v>
      </c>
      <c r="F161" s="25">
        <f>F162+F163+F164+F165+F166+F170</f>
        <v>23209850</v>
      </c>
      <c r="G161" s="25">
        <f t="shared" ref="G161:K161" si="59">G162+G163+G164+G165+G166+G170</f>
        <v>4732000</v>
      </c>
      <c r="H161" s="25">
        <f t="shared" si="59"/>
        <v>0</v>
      </c>
      <c r="I161" s="25">
        <f t="shared" si="59"/>
        <v>0</v>
      </c>
      <c r="J161" s="25">
        <f t="shared" si="57"/>
        <v>790250</v>
      </c>
      <c r="K161" s="25">
        <f t="shared" si="59"/>
        <v>790250</v>
      </c>
      <c r="L161" s="25">
        <f t="shared" ref="L161" si="60">L162+L163+L164+L165+L166+L170</f>
        <v>0</v>
      </c>
      <c r="M161" s="25">
        <f t="shared" ref="M161" si="61">M162+M163+M164+M165+M166+M170</f>
        <v>0</v>
      </c>
      <c r="N161" s="25">
        <f t="shared" ref="N161" si="62">N162+N163+N164+N165+N166+N170</f>
        <v>0</v>
      </c>
      <c r="O161" s="25">
        <f t="shared" ref="O161" si="63">O162+O163+O164+O165+O166+O170</f>
        <v>790250</v>
      </c>
      <c r="P161" s="25">
        <f t="shared" si="58"/>
        <v>36000100</v>
      </c>
    </row>
    <row r="162" spans="1:16" ht="64.2" customHeight="1" x14ac:dyDescent="0.3">
      <c r="A162" s="13" t="s">
        <v>237</v>
      </c>
      <c r="B162" s="13" t="s">
        <v>72</v>
      </c>
      <c r="C162" s="13" t="s">
        <v>22</v>
      </c>
      <c r="D162" s="14" t="s">
        <v>73</v>
      </c>
      <c r="E162" s="26">
        <f>F162+I162</f>
        <v>4983900</v>
      </c>
      <c r="F162" s="26">
        <v>4983900</v>
      </c>
      <c r="G162" s="26">
        <v>4732000</v>
      </c>
      <c r="H162" s="26">
        <v>0</v>
      </c>
      <c r="I162" s="26">
        <v>0</v>
      </c>
      <c r="J162" s="26">
        <f t="shared" si="57"/>
        <v>0</v>
      </c>
      <c r="K162" s="26">
        <v>0</v>
      </c>
      <c r="L162" s="26">
        <v>0</v>
      </c>
      <c r="M162" s="26">
        <v>0</v>
      </c>
      <c r="N162" s="26">
        <v>0</v>
      </c>
      <c r="O162" s="26">
        <v>0</v>
      </c>
      <c r="P162" s="26">
        <f t="shared" si="58"/>
        <v>4983900</v>
      </c>
    </row>
    <row r="163" spans="1:16" ht="31.2" x14ac:dyDescent="0.3">
      <c r="A163" s="13" t="s">
        <v>238</v>
      </c>
      <c r="B163" s="13" t="s">
        <v>28</v>
      </c>
      <c r="C163" s="13" t="s">
        <v>29</v>
      </c>
      <c r="D163" s="14" t="s">
        <v>30</v>
      </c>
      <c r="E163" s="26">
        <f>F163+I163</f>
        <v>44500</v>
      </c>
      <c r="F163" s="26">
        <v>44500</v>
      </c>
      <c r="G163" s="26">
        <v>0</v>
      </c>
      <c r="H163" s="26">
        <v>0</v>
      </c>
      <c r="I163" s="26">
        <v>0</v>
      </c>
      <c r="J163" s="26">
        <f t="shared" ref="J163:J174" si="64">L163+O163</f>
        <v>0</v>
      </c>
      <c r="K163" s="26"/>
      <c r="L163" s="26"/>
      <c r="M163" s="26"/>
      <c r="N163" s="26"/>
      <c r="O163" s="26"/>
      <c r="P163" s="26">
        <f t="shared" ref="P163:P175" si="65">E163+J163</f>
        <v>44500</v>
      </c>
    </row>
    <row r="164" spans="1:16" x14ac:dyDescent="0.3">
      <c r="A164" s="13" t="s">
        <v>239</v>
      </c>
      <c r="B164" s="13" t="s">
        <v>240</v>
      </c>
      <c r="C164" s="13" t="s">
        <v>29</v>
      </c>
      <c r="D164" s="14" t="s">
        <v>241</v>
      </c>
      <c r="E164" s="26">
        <f>7000000+5000000</f>
        <v>12000000</v>
      </c>
      <c r="F164" s="26"/>
      <c r="G164" s="26">
        <v>0</v>
      </c>
      <c r="H164" s="26">
        <v>0</v>
      </c>
      <c r="I164" s="26">
        <v>0</v>
      </c>
      <c r="J164" s="26">
        <f t="shared" si="64"/>
        <v>0</v>
      </c>
      <c r="K164" s="26">
        <v>0</v>
      </c>
      <c r="L164" s="26">
        <v>0</v>
      </c>
      <c r="M164" s="26">
        <v>0</v>
      </c>
      <c r="N164" s="26">
        <v>0</v>
      </c>
      <c r="O164" s="26">
        <v>0</v>
      </c>
      <c r="P164" s="26">
        <f t="shared" si="65"/>
        <v>12000000</v>
      </c>
    </row>
    <row r="165" spans="1:16" x14ac:dyDescent="0.3">
      <c r="A165" s="13" t="s">
        <v>242</v>
      </c>
      <c r="B165" s="13" t="s">
        <v>243</v>
      </c>
      <c r="C165" s="13" t="s">
        <v>28</v>
      </c>
      <c r="D165" s="14" t="s">
        <v>244</v>
      </c>
      <c r="E165" s="26">
        <f>F165+I165</f>
        <v>10294700</v>
      </c>
      <c r="F165" s="26">
        <v>10294700</v>
      </c>
      <c r="G165" s="26">
        <v>0</v>
      </c>
      <c r="H165" s="26">
        <v>0</v>
      </c>
      <c r="I165" s="26">
        <v>0</v>
      </c>
      <c r="J165" s="26">
        <f t="shared" si="64"/>
        <v>0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6">
        <f t="shared" si="65"/>
        <v>10294700</v>
      </c>
    </row>
    <row r="166" spans="1:16" x14ac:dyDescent="0.3">
      <c r="A166" s="22" t="s">
        <v>346</v>
      </c>
      <c r="B166" s="22" t="s">
        <v>347</v>
      </c>
      <c r="C166" s="22" t="s">
        <v>28</v>
      </c>
      <c r="D166" s="14" t="s">
        <v>349</v>
      </c>
      <c r="E166" s="26">
        <f>F166+I166</f>
        <v>1180000</v>
      </c>
      <c r="F166" s="26">
        <f>F168+F169</f>
        <v>1180000</v>
      </c>
      <c r="G166" s="26"/>
      <c r="H166" s="26"/>
      <c r="I166" s="26"/>
      <c r="J166" s="26">
        <f t="shared" si="64"/>
        <v>0</v>
      </c>
      <c r="K166" s="26"/>
      <c r="L166" s="26"/>
      <c r="M166" s="26"/>
      <c r="N166" s="26"/>
      <c r="O166" s="26"/>
      <c r="P166" s="26">
        <f t="shared" si="65"/>
        <v>1180000</v>
      </c>
    </row>
    <row r="167" spans="1:16" x14ac:dyDescent="0.3">
      <c r="A167" s="22"/>
      <c r="B167" s="22"/>
      <c r="C167" s="22"/>
      <c r="D167" s="16" t="s">
        <v>377</v>
      </c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</row>
    <row r="168" spans="1:16" s="17" customFormat="1" ht="124.8" x14ac:dyDescent="0.3">
      <c r="A168" s="23"/>
      <c r="B168" s="23"/>
      <c r="C168" s="23"/>
      <c r="D168" s="16" t="s">
        <v>348</v>
      </c>
      <c r="E168" s="27">
        <f t="shared" ref="E168:E175" si="66">F168+I168</f>
        <v>980000</v>
      </c>
      <c r="F168" s="27">
        <v>980000</v>
      </c>
      <c r="G168" s="27"/>
      <c r="H168" s="27"/>
      <c r="I168" s="27"/>
      <c r="J168" s="27">
        <f t="shared" si="64"/>
        <v>0</v>
      </c>
      <c r="K168" s="27"/>
      <c r="L168" s="27"/>
      <c r="M168" s="27"/>
      <c r="N168" s="27"/>
      <c r="O168" s="27"/>
      <c r="P168" s="27">
        <f t="shared" si="65"/>
        <v>980000</v>
      </c>
    </row>
    <row r="169" spans="1:16" s="17" customFormat="1" ht="31.2" x14ac:dyDescent="0.3">
      <c r="A169" s="23"/>
      <c r="B169" s="23"/>
      <c r="C169" s="23"/>
      <c r="D169" s="16" t="s">
        <v>378</v>
      </c>
      <c r="E169" s="27">
        <f t="shared" si="66"/>
        <v>200000</v>
      </c>
      <c r="F169" s="27">
        <v>200000</v>
      </c>
      <c r="G169" s="27"/>
      <c r="H169" s="27"/>
      <c r="I169" s="27"/>
      <c r="J169" s="27"/>
      <c r="K169" s="27"/>
      <c r="L169" s="27"/>
      <c r="M169" s="27"/>
      <c r="N169" s="27"/>
      <c r="O169" s="27"/>
      <c r="P169" s="27">
        <f t="shared" si="65"/>
        <v>200000</v>
      </c>
    </row>
    <row r="170" spans="1:16" ht="62.4" x14ac:dyDescent="0.3">
      <c r="A170" s="22" t="s">
        <v>350</v>
      </c>
      <c r="B170" s="22" t="s">
        <v>351</v>
      </c>
      <c r="C170" s="22" t="s">
        <v>28</v>
      </c>
      <c r="D170" s="14" t="s">
        <v>352</v>
      </c>
      <c r="E170" s="26">
        <f t="shared" si="66"/>
        <v>6706750</v>
      </c>
      <c r="F170" s="26">
        <f>F171+F172+F173+F174+F175</f>
        <v>6706750</v>
      </c>
      <c r="G170" s="26">
        <f t="shared" ref="G170:K170" si="67">G171+G172+G173+G174+G175</f>
        <v>0</v>
      </c>
      <c r="H170" s="26">
        <f t="shared" si="67"/>
        <v>0</v>
      </c>
      <c r="I170" s="26">
        <f t="shared" si="67"/>
        <v>0</v>
      </c>
      <c r="J170" s="26">
        <f t="shared" si="64"/>
        <v>790250</v>
      </c>
      <c r="K170" s="26">
        <f t="shared" si="67"/>
        <v>790250</v>
      </c>
      <c r="L170" s="26">
        <f t="shared" ref="L170" si="68">L171+L172+L173+L174+L175</f>
        <v>0</v>
      </c>
      <c r="M170" s="26">
        <f t="shared" ref="M170" si="69">M171+M172+M173+M174+M175</f>
        <v>0</v>
      </c>
      <c r="N170" s="26">
        <f t="shared" ref="N170" si="70">N171+N172+N173+N174+N175</f>
        <v>0</v>
      </c>
      <c r="O170" s="26">
        <f t="shared" ref="O170" si="71">O171+O172+O173+O174+O175</f>
        <v>790250</v>
      </c>
      <c r="P170" s="26">
        <f t="shared" si="65"/>
        <v>7497000</v>
      </c>
    </row>
    <row r="171" spans="1:16" s="17" customFormat="1" ht="84" customHeight="1" x14ac:dyDescent="0.3">
      <c r="A171" s="23"/>
      <c r="B171" s="23"/>
      <c r="C171" s="23"/>
      <c r="D171" s="16" t="s">
        <v>353</v>
      </c>
      <c r="E171" s="27">
        <f t="shared" si="66"/>
        <v>1446750</v>
      </c>
      <c r="F171" s="27">
        <v>1446750</v>
      </c>
      <c r="G171" s="27"/>
      <c r="H171" s="27"/>
      <c r="I171" s="27"/>
      <c r="J171" s="27">
        <f t="shared" si="64"/>
        <v>365250</v>
      </c>
      <c r="K171" s="27">
        <v>365250</v>
      </c>
      <c r="L171" s="27"/>
      <c r="M171" s="27"/>
      <c r="N171" s="27"/>
      <c r="O171" s="27">
        <v>365250</v>
      </c>
      <c r="P171" s="27">
        <f t="shared" si="65"/>
        <v>1812000</v>
      </c>
    </row>
    <row r="172" spans="1:16" s="17" customFormat="1" ht="78" x14ac:dyDescent="0.3">
      <c r="A172" s="23"/>
      <c r="B172" s="23"/>
      <c r="C172" s="23"/>
      <c r="D172" s="16" t="s">
        <v>354</v>
      </c>
      <c r="E172" s="27">
        <f t="shared" si="66"/>
        <v>3500000</v>
      </c>
      <c r="F172" s="27">
        <f>3200000+300000</f>
        <v>3500000</v>
      </c>
      <c r="G172" s="27"/>
      <c r="H172" s="27"/>
      <c r="I172" s="27"/>
      <c r="J172" s="27">
        <f t="shared" si="64"/>
        <v>0</v>
      </c>
      <c r="K172" s="27"/>
      <c r="L172" s="27"/>
      <c r="M172" s="27"/>
      <c r="N172" s="27"/>
      <c r="O172" s="27"/>
      <c r="P172" s="27">
        <f t="shared" si="65"/>
        <v>3500000</v>
      </c>
    </row>
    <row r="173" spans="1:16" s="17" customFormat="1" ht="46.8" x14ac:dyDescent="0.3">
      <c r="A173" s="23"/>
      <c r="B173" s="23"/>
      <c r="C173" s="23"/>
      <c r="D173" s="16" t="s">
        <v>355</v>
      </c>
      <c r="E173" s="27">
        <f t="shared" si="66"/>
        <v>255000</v>
      </c>
      <c r="F173" s="27">
        <v>255000</v>
      </c>
      <c r="G173" s="27"/>
      <c r="H173" s="27"/>
      <c r="I173" s="27"/>
      <c r="J173" s="27">
        <f t="shared" si="64"/>
        <v>0</v>
      </c>
      <c r="K173" s="27"/>
      <c r="L173" s="27"/>
      <c r="M173" s="27"/>
      <c r="N173" s="27"/>
      <c r="O173" s="27"/>
      <c r="P173" s="27">
        <f t="shared" si="65"/>
        <v>255000</v>
      </c>
    </row>
    <row r="174" spans="1:16" s="17" customFormat="1" ht="78" x14ac:dyDescent="0.3">
      <c r="A174" s="23"/>
      <c r="B174" s="23"/>
      <c r="C174" s="23"/>
      <c r="D174" s="16" t="s">
        <v>363</v>
      </c>
      <c r="E174" s="27">
        <f t="shared" si="66"/>
        <v>1105000</v>
      </c>
      <c r="F174" s="27">
        <v>1105000</v>
      </c>
      <c r="G174" s="27"/>
      <c r="H174" s="27"/>
      <c r="I174" s="27"/>
      <c r="J174" s="27">
        <f t="shared" si="64"/>
        <v>425000</v>
      </c>
      <c r="K174" s="27">
        <v>425000</v>
      </c>
      <c r="L174" s="27"/>
      <c r="M174" s="27"/>
      <c r="N174" s="27"/>
      <c r="O174" s="27">
        <v>425000</v>
      </c>
      <c r="P174" s="27">
        <f t="shared" si="65"/>
        <v>1530000</v>
      </c>
    </row>
    <row r="175" spans="1:16" s="17" customFormat="1" ht="46.8" x14ac:dyDescent="0.3">
      <c r="A175" s="23"/>
      <c r="B175" s="23"/>
      <c r="C175" s="23"/>
      <c r="D175" s="16" t="s">
        <v>376</v>
      </c>
      <c r="E175" s="27">
        <f t="shared" si="66"/>
        <v>400000</v>
      </c>
      <c r="F175" s="27">
        <v>400000</v>
      </c>
      <c r="G175" s="27"/>
      <c r="H175" s="27"/>
      <c r="I175" s="27"/>
      <c r="J175" s="27"/>
      <c r="K175" s="27"/>
      <c r="L175" s="27"/>
      <c r="M175" s="27"/>
      <c r="N175" s="27"/>
      <c r="O175" s="27"/>
      <c r="P175" s="27">
        <f t="shared" si="65"/>
        <v>400000</v>
      </c>
    </row>
    <row r="176" spans="1:16" x14ac:dyDescent="0.3">
      <c r="A176" s="18" t="s">
        <v>246</v>
      </c>
      <c r="B176" s="11" t="s">
        <v>246</v>
      </c>
      <c r="C176" s="11" t="s">
        <v>246</v>
      </c>
      <c r="D176" s="11" t="s">
        <v>245</v>
      </c>
      <c r="E176" s="25">
        <f>E19+E47+E71+E91+E101+E109+E130+E151+E161</f>
        <v>933415015.94999993</v>
      </c>
      <c r="F176" s="25">
        <f>F19+F47+F71+F91+F101+F109+F130+F151+F161</f>
        <v>791175310.81999993</v>
      </c>
      <c r="G176" s="25">
        <f>G19+G47+G71+G91+G101+G109+G130+G151+G161</f>
        <v>500227466.13999999</v>
      </c>
      <c r="H176" s="25">
        <f>H19+H47+H71+H91+H101+H109+H130+H151+H161</f>
        <v>61630810</v>
      </c>
      <c r="I176" s="25">
        <f>I19+I47+I71+I91+I101+I109+I130+I151+I160</f>
        <v>130239705.13</v>
      </c>
      <c r="J176" s="25">
        <f t="shared" ref="J176:O176" si="72">J19+J47+J71+J91+J101+J109+J130+J151+J161</f>
        <v>153933676.78</v>
      </c>
      <c r="K176" s="25">
        <f t="shared" si="72"/>
        <v>131139784.49000001</v>
      </c>
      <c r="L176" s="25">
        <f t="shared" si="72"/>
        <v>6973000</v>
      </c>
      <c r="M176" s="25">
        <f t="shared" si="72"/>
        <v>415000</v>
      </c>
      <c r="N176" s="25">
        <f t="shared" si="72"/>
        <v>0</v>
      </c>
      <c r="O176" s="25">
        <f t="shared" si="72"/>
        <v>146960676.78</v>
      </c>
      <c r="P176" s="25">
        <f>E176+J176</f>
        <v>1087348692.73</v>
      </c>
    </row>
    <row r="177" spans="1:16" x14ac:dyDescent="0.3"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</row>
    <row r="178" spans="1:16" s="2" customFormat="1" ht="18" x14ac:dyDescent="0.35">
      <c r="A178" s="5"/>
      <c r="B178" s="5"/>
      <c r="C178" s="1" t="s">
        <v>253</v>
      </c>
      <c r="D178" s="3" t="s">
        <v>254</v>
      </c>
      <c r="E178" s="30">
        <f>E21+E26+E27+E49+E50+E73+E74+E93+E94+E103+E104+E111+E112+E113+E132+E133+E134+E153+E154+E162+E163</f>
        <v>101052229</v>
      </c>
      <c r="F178" s="30">
        <f t="shared" ref="F178:O178" si="73">F21+F26+F27+F49+F50+F73+F74+F93+F94+F103+F104+F111+F112+F113+F132+F133+F134+F153+F154+F162+F163</f>
        <v>101052229</v>
      </c>
      <c r="G178" s="30">
        <f t="shared" si="73"/>
        <v>84263000</v>
      </c>
      <c r="H178" s="30">
        <f t="shared" si="73"/>
        <v>6446200</v>
      </c>
      <c r="I178" s="30">
        <f t="shared" si="73"/>
        <v>0</v>
      </c>
      <c r="J178" s="30">
        <f t="shared" si="73"/>
        <v>2029529.42</v>
      </c>
      <c r="K178" s="30">
        <f t="shared" si="73"/>
        <v>1889029.42</v>
      </c>
      <c r="L178" s="30">
        <f t="shared" si="73"/>
        <v>140500</v>
      </c>
      <c r="M178" s="30">
        <f t="shared" si="73"/>
        <v>0</v>
      </c>
      <c r="N178" s="30">
        <f t="shared" si="73"/>
        <v>0</v>
      </c>
      <c r="O178" s="30">
        <f t="shared" si="73"/>
        <v>1889029.42</v>
      </c>
      <c r="P178" s="30">
        <f t="shared" ref="P178:P188" si="74">E178+J178</f>
        <v>103081758.42</v>
      </c>
    </row>
    <row r="179" spans="1:16" s="2" customFormat="1" ht="18" x14ac:dyDescent="0.35">
      <c r="A179" s="5"/>
      <c r="B179" s="5"/>
      <c r="C179" s="1" t="s">
        <v>255</v>
      </c>
      <c r="D179" s="3" t="s">
        <v>256</v>
      </c>
      <c r="E179" s="30">
        <f>E51+E52+E53+E54+E55+E56+E57+E58+E59+E60+E61+E62+E95</f>
        <v>428840823</v>
      </c>
      <c r="F179" s="30">
        <f t="shared" ref="F179:O179" si="75">F51+F52+F53+F54+F55+F56+F57+F58+F59+F60+F61+F62+F95</f>
        <v>428840823</v>
      </c>
      <c r="G179" s="30">
        <f t="shared" si="75"/>
        <v>350247062</v>
      </c>
      <c r="H179" s="30">
        <f t="shared" si="75"/>
        <v>50166610</v>
      </c>
      <c r="I179" s="30">
        <f t="shared" si="75"/>
        <v>0</v>
      </c>
      <c r="J179" s="30">
        <f t="shared" si="75"/>
        <v>7808096</v>
      </c>
      <c r="K179" s="30">
        <f t="shared" si="75"/>
        <v>1486596</v>
      </c>
      <c r="L179" s="30">
        <f t="shared" si="75"/>
        <v>6121500</v>
      </c>
      <c r="M179" s="30">
        <f t="shared" si="75"/>
        <v>385000</v>
      </c>
      <c r="N179" s="30">
        <f t="shared" si="75"/>
        <v>0</v>
      </c>
      <c r="O179" s="30">
        <f t="shared" si="75"/>
        <v>1686596</v>
      </c>
      <c r="P179" s="30">
        <f t="shared" si="74"/>
        <v>436648919</v>
      </c>
    </row>
    <row r="180" spans="1:16" s="2" customFormat="1" ht="18" x14ac:dyDescent="0.35">
      <c r="A180" s="5"/>
      <c r="B180" s="5"/>
      <c r="C180" s="1" t="s">
        <v>257</v>
      </c>
      <c r="D180" s="3" t="s">
        <v>258</v>
      </c>
      <c r="E180" s="30">
        <f t="shared" ref="E180:O180" si="76">E28+E29+E30+E31+E135</f>
        <v>35354010</v>
      </c>
      <c r="F180" s="30">
        <f t="shared" si="76"/>
        <v>35354010</v>
      </c>
      <c r="G180" s="30">
        <f t="shared" si="76"/>
        <v>0</v>
      </c>
      <c r="H180" s="30">
        <f t="shared" si="76"/>
        <v>0</v>
      </c>
      <c r="I180" s="30">
        <f t="shared" si="76"/>
        <v>0</v>
      </c>
      <c r="J180" s="30">
        <f t="shared" si="76"/>
        <v>14518240.16</v>
      </c>
      <c r="K180" s="30">
        <f t="shared" si="76"/>
        <v>14518240.16</v>
      </c>
      <c r="L180" s="30">
        <f t="shared" si="76"/>
        <v>0</v>
      </c>
      <c r="M180" s="30">
        <f t="shared" si="76"/>
        <v>0</v>
      </c>
      <c r="N180" s="30">
        <f t="shared" si="76"/>
        <v>0</v>
      </c>
      <c r="O180" s="30">
        <f t="shared" si="76"/>
        <v>14518240.16</v>
      </c>
      <c r="P180" s="30">
        <f t="shared" si="74"/>
        <v>49872250.159999996</v>
      </c>
    </row>
    <row r="181" spans="1:16" s="2" customFormat="1" ht="37.200000000000003" customHeight="1" x14ac:dyDescent="0.35">
      <c r="A181" s="5"/>
      <c r="B181" s="5"/>
      <c r="C181" s="1" t="s">
        <v>259</v>
      </c>
      <c r="D181" s="3" t="s">
        <v>260</v>
      </c>
      <c r="E181" s="30">
        <f t="shared" ref="E181:O181" si="77">E32+E33+E66+E67+E75+E76+E77+E78+E79+E80+E81+E82+E83+E84+E85+E86+E87+E88+E105+E114</f>
        <v>83787580.140000001</v>
      </c>
      <c r="F181" s="30">
        <f t="shared" si="77"/>
        <v>83787580.140000001</v>
      </c>
      <c r="G181" s="30">
        <f t="shared" si="77"/>
        <v>20801604.140000001</v>
      </c>
      <c r="H181" s="30">
        <f t="shared" si="77"/>
        <v>610200</v>
      </c>
      <c r="I181" s="30">
        <f t="shared" si="77"/>
        <v>0</v>
      </c>
      <c r="J181" s="30">
        <f t="shared" si="77"/>
        <v>228900</v>
      </c>
      <c r="K181" s="30">
        <f t="shared" si="77"/>
        <v>172500</v>
      </c>
      <c r="L181" s="30">
        <f t="shared" si="77"/>
        <v>0</v>
      </c>
      <c r="M181" s="30">
        <f t="shared" si="77"/>
        <v>0</v>
      </c>
      <c r="N181" s="30">
        <f t="shared" si="77"/>
        <v>0</v>
      </c>
      <c r="O181" s="30">
        <f t="shared" si="77"/>
        <v>228900</v>
      </c>
      <c r="P181" s="30">
        <f t="shared" si="74"/>
        <v>84016480.140000001</v>
      </c>
    </row>
    <row r="182" spans="1:16" s="2" customFormat="1" ht="18" x14ac:dyDescent="0.35">
      <c r="A182" s="5"/>
      <c r="B182" s="5"/>
      <c r="C182" s="1" t="s">
        <v>261</v>
      </c>
      <c r="D182" s="3" t="s">
        <v>262</v>
      </c>
      <c r="E182" s="30">
        <f t="shared" ref="E182:O182" si="78">E96+E97+E98+E99+E100</f>
        <v>26294900</v>
      </c>
      <c r="F182" s="30">
        <f t="shared" si="78"/>
        <v>26294900</v>
      </c>
      <c r="G182" s="30">
        <f t="shared" si="78"/>
        <v>20630900</v>
      </c>
      <c r="H182" s="30">
        <f t="shared" si="78"/>
        <v>2899100</v>
      </c>
      <c r="I182" s="30">
        <f t="shared" si="78"/>
        <v>0</v>
      </c>
      <c r="J182" s="30">
        <f t="shared" si="78"/>
        <v>416000</v>
      </c>
      <c r="K182" s="30">
        <f t="shared" si="78"/>
        <v>94000</v>
      </c>
      <c r="L182" s="30">
        <f t="shared" si="78"/>
        <v>295000</v>
      </c>
      <c r="M182" s="30">
        <f t="shared" si="78"/>
        <v>30000</v>
      </c>
      <c r="N182" s="30">
        <f t="shared" si="78"/>
        <v>0</v>
      </c>
      <c r="O182" s="30">
        <f t="shared" si="78"/>
        <v>121000</v>
      </c>
      <c r="P182" s="30">
        <f t="shared" si="74"/>
        <v>26710900</v>
      </c>
    </row>
    <row r="183" spans="1:16" s="2" customFormat="1" ht="18" x14ac:dyDescent="0.35">
      <c r="A183" s="5"/>
      <c r="B183" s="5"/>
      <c r="C183" s="1" t="s">
        <v>263</v>
      </c>
      <c r="D183" s="3" t="s">
        <v>264</v>
      </c>
      <c r="E183" s="30">
        <f t="shared" ref="E183:O183" si="79">E68+E106+E107+E108</f>
        <v>13404480</v>
      </c>
      <c r="F183" s="30">
        <f t="shared" si="79"/>
        <v>13404480</v>
      </c>
      <c r="G183" s="30">
        <f t="shared" si="79"/>
        <v>9003600</v>
      </c>
      <c r="H183" s="30">
        <f t="shared" si="79"/>
        <v>1074600</v>
      </c>
      <c r="I183" s="30">
        <f t="shared" si="79"/>
        <v>0</v>
      </c>
      <c r="J183" s="30">
        <f t="shared" si="79"/>
        <v>0</v>
      </c>
      <c r="K183" s="30">
        <f t="shared" si="79"/>
        <v>0</v>
      </c>
      <c r="L183" s="30">
        <f t="shared" si="79"/>
        <v>0</v>
      </c>
      <c r="M183" s="30">
        <f t="shared" si="79"/>
        <v>0</v>
      </c>
      <c r="N183" s="30">
        <f t="shared" si="79"/>
        <v>0</v>
      </c>
      <c r="O183" s="30">
        <f t="shared" si="79"/>
        <v>0</v>
      </c>
      <c r="P183" s="30">
        <f t="shared" si="74"/>
        <v>13404480</v>
      </c>
    </row>
    <row r="184" spans="1:16" s="2" customFormat="1" ht="18" x14ac:dyDescent="0.35">
      <c r="A184" s="5"/>
      <c r="B184" s="5"/>
      <c r="C184" s="1" t="s">
        <v>265</v>
      </c>
      <c r="D184" s="3" t="s">
        <v>266</v>
      </c>
      <c r="E184" s="30">
        <f>E34+E89+E115+E116+E117+E118+E119+E120+E136+E137+E138+E139+E140+E141+E155</f>
        <v>103730745.13</v>
      </c>
      <c r="F184" s="30">
        <f t="shared" ref="F184:O184" si="80">F34+F89+F115+F116+F117+F118+F119+F120+F136+F137+F138+F139+F140+F141+F155</f>
        <v>28531800</v>
      </c>
      <c r="G184" s="30">
        <f t="shared" si="80"/>
        <v>0</v>
      </c>
      <c r="H184" s="30">
        <f t="shared" si="80"/>
        <v>0</v>
      </c>
      <c r="I184" s="30">
        <f t="shared" si="80"/>
        <v>75198945.129999995</v>
      </c>
      <c r="J184" s="30">
        <f t="shared" si="80"/>
        <v>49633477.200000003</v>
      </c>
      <c r="K184" s="30">
        <f t="shared" si="80"/>
        <v>49633477.200000003</v>
      </c>
      <c r="L184" s="30">
        <f t="shared" si="80"/>
        <v>0</v>
      </c>
      <c r="M184" s="30">
        <f t="shared" si="80"/>
        <v>0</v>
      </c>
      <c r="N184" s="30">
        <f t="shared" si="80"/>
        <v>0</v>
      </c>
      <c r="O184" s="30">
        <f t="shared" si="80"/>
        <v>49633477.200000003</v>
      </c>
      <c r="P184" s="30">
        <f t="shared" si="74"/>
        <v>153364222.32999998</v>
      </c>
    </row>
    <row r="185" spans="1:16" s="2" customFormat="1" ht="18" x14ac:dyDescent="0.35">
      <c r="A185" s="5"/>
      <c r="B185" s="5"/>
      <c r="C185" s="1" t="s">
        <v>356</v>
      </c>
      <c r="D185" s="3" t="s">
        <v>357</v>
      </c>
      <c r="E185" s="30">
        <f>E38+E39+E40+E121+E122+E123+E124+E125+E126+E142+E143+E144+E145+E146+E147+E156+E157</f>
        <v>79681460</v>
      </c>
      <c r="F185" s="30">
        <f t="shared" ref="F185:O185" si="81">F38+F39+F40+F121+F122+F123+F124+F125+F126+F142+F143+F144+F145+F146+F147+F156+F157</f>
        <v>24640700</v>
      </c>
      <c r="G185" s="30">
        <f t="shared" si="81"/>
        <v>0</v>
      </c>
      <c r="H185" s="30">
        <f t="shared" si="81"/>
        <v>0</v>
      </c>
      <c r="I185" s="30">
        <f t="shared" si="81"/>
        <v>55040760</v>
      </c>
      <c r="J185" s="30">
        <f t="shared" si="81"/>
        <v>58261597.060000002</v>
      </c>
      <c r="K185" s="30">
        <f t="shared" si="81"/>
        <v>44189910.210000008</v>
      </c>
      <c r="L185" s="30">
        <f t="shared" si="81"/>
        <v>0</v>
      </c>
      <c r="M185" s="30">
        <f t="shared" si="81"/>
        <v>0</v>
      </c>
      <c r="N185" s="30">
        <f t="shared" si="81"/>
        <v>0</v>
      </c>
      <c r="O185" s="30">
        <f t="shared" si="81"/>
        <v>58261597.060000002</v>
      </c>
      <c r="P185" s="30">
        <f t="shared" si="74"/>
        <v>137943057.06</v>
      </c>
    </row>
    <row r="186" spans="1:16" s="2" customFormat="1" ht="18" x14ac:dyDescent="0.35">
      <c r="A186" s="5"/>
      <c r="B186" s="5"/>
      <c r="C186" s="1" t="s">
        <v>358</v>
      </c>
      <c r="D186" s="3" t="s">
        <v>359</v>
      </c>
      <c r="E186" s="30">
        <f>E41+E42+E43+E44+E45+E46+E69+E70+E90+E127+E128+E129+E148+E149+E150+E158+E159+E164</f>
        <v>43087338.68</v>
      </c>
      <c r="F186" s="30">
        <f t="shared" ref="F186:O186" si="82">F41+F42+F43+F44+F45+F46+F69+F70+F90+F127+F128+F129+F148+F149+F150+F158+F159+F164</f>
        <v>31087338.68</v>
      </c>
      <c r="G186" s="30">
        <f t="shared" si="82"/>
        <v>15281300</v>
      </c>
      <c r="H186" s="30">
        <f t="shared" si="82"/>
        <v>434100</v>
      </c>
      <c r="I186" s="30">
        <f t="shared" si="82"/>
        <v>0</v>
      </c>
      <c r="J186" s="30">
        <f t="shared" si="82"/>
        <v>20247586.939999998</v>
      </c>
      <c r="K186" s="30">
        <f t="shared" si="82"/>
        <v>18365781.5</v>
      </c>
      <c r="L186" s="30">
        <f t="shared" si="82"/>
        <v>416000</v>
      </c>
      <c r="M186" s="30">
        <f t="shared" si="82"/>
        <v>0</v>
      </c>
      <c r="N186" s="30">
        <f t="shared" si="82"/>
        <v>0</v>
      </c>
      <c r="O186" s="30">
        <f t="shared" si="82"/>
        <v>19831586.939999998</v>
      </c>
      <c r="P186" s="30">
        <f t="shared" si="74"/>
        <v>63334925.619999997</v>
      </c>
    </row>
    <row r="187" spans="1:16" s="2" customFormat="1" ht="18" x14ac:dyDescent="0.35">
      <c r="A187" s="5"/>
      <c r="B187" s="5"/>
      <c r="C187" s="1" t="s">
        <v>360</v>
      </c>
      <c r="D187" s="3" t="s">
        <v>361</v>
      </c>
      <c r="E187" s="30">
        <f>E165+E166+E170</f>
        <v>18181450</v>
      </c>
      <c r="F187" s="30">
        <f t="shared" ref="F187:O187" si="83">F165+F166+F170</f>
        <v>18181450</v>
      </c>
      <c r="G187" s="30">
        <f t="shared" si="83"/>
        <v>0</v>
      </c>
      <c r="H187" s="30">
        <f t="shared" si="83"/>
        <v>0</v>
      </c>
      <c r="I187" s="30">
        <f t="shared" si="83"/>
        <v>0</v>
      </c>
      <c r="J187" s="30">
        <f t="shared" si="83"/>
        <v>790250</v>
      </c>
      <c r="K187" s="30">
        <f t="shared" si="83"/>
        <v>790250</v>
      </c>
      <c r="L187" s="30">
        <f t="shared" si="83"/>
        <v>0</v>
      </c>
      <c r="M187" s="30">
        <f t="shared" si="83"/>
        <v>0</v>
      </c>
      <c r="N187" s="30">
        <f t="shared" si="83"/>
        <v>0</v>
      </c>
      <c r="O187" s="30">
        <f t="shared" si="83"/>
        <v>790250</v>
      </c>
      <c r="P187" s="30">
        <f t="shared" si="74"/>
        <v>18971700</v>
      </c>
    </row>
    <row r="188" spans="1:16" s="4" customFormat="1" x14ac:dyDescent="0.3">
      <c r="A188" s="19"/>
      <c r="B188" s="19"/>
      <c r="C188" s="19"/>
      <c r="D188" s="19" t="s">
        <v>15</v>
      </c>
      <c r="E188" s="31">
        <f>SUM(E178:E187)</f>
        <v>933415015.94999993</v>
      </c>
      <c r="F188" s="31">
        <f t="shared" ref="F188:O188" si="84">SUM(F178:F187)</f>
        <v>791175310.81999993</v>
      </c>
      <c r="G188" s="31">
        <f t="shared" si="84"/>
        <v>500227466.13999999</v>
      </c>
      <c r="H188" s="31">
        <f t="shared" si="84"/>
        <v>61630810</v>
      </c>
      <c r="I188" s="31">
        <f t="shared" si="84"/>
        <v>130239705.13</v>
      </c>
      <c r="J188" s="31">
        <f t="shared" si="84"/>
        <v>153933676.78</v>
      </c>
      <c r="K188" s="31">
        <f t="shared" si="84"/>
        <v>131139784.49000001</v>
      </c>
      <c r="L188" s="31">
        <f t="shared" si="84"/>
        <v>6973000</v>
      </c>
      <c r="M188" s="31">
        <f t="shared" si="84"/>
        <v>415000</v>
      </c>
      <c r="N188" s="31">
        <f t="shared" si="84"/>
        <v>0</v>
      </c>
      <c r="O188" s="31">
        <f t="shared" si="84"/>
        <v>146960676.78</v>
      </c>
      <c r="P188" s="31">
        <f t="shared" si="74"/>
        <v>1087348692.73</v>
      </c>
    </row>
    <row r="189" spans="1:16" x14ac:dyDescent="0.3"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</row>
    <row r="190" spans="1:16" x14ac:dyDescent="0.3">
      <c r="D190" s="6" t="s">
        <v>267</v>
      </c>
      <c r="E190" s="29"/>
      <c r="F190" s="29"/>
      <c r="G190" s="29"/>
      <c r="H190" s="29"/>
      <c r="I190" s="29" t="s">
        <v>249</v>
      </c>
      <c r="J190" s="29"/>
      <c r="K190" s="29"/>
      <c r="L190" s="29"/>
      <c r="M190" s="29"/>
      <c r="N190" s="29"/>
      <c r="O190" s="29"/>
      <c r="P190" s="29"/>
    </row>
    <row r="191" spans="1:16" x14ac:dyDescent="0.3"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x14ac:dyDescent="0.3"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5:16" x14ac:dyDescent="0.3"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5:16" x14ac:dyDescent="0.3"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</row>
    <row r="195" spans="5:16" x14ac:dyDescent="0.3"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5:16" x14ac:dyDescent="0.3"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</row>
    <row r="197" spans="5:16" x14ac:dyDescent="0.3"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</row>
    <row r="198" spans="5:16" x14ac:dyDescent="0.3"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</row>
    <row r="199" spans="5:16" x14ac:dyDescent="0.3"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</row>
    <row r="200" spans="5:16" x14ac:dyDescent="0.3">
      <c r="K200" s="32"/>
    </row>
  </sheetData>
  <mergeCells count="22">
    <mergeCell ref="J15:J17"/>
    <mergeCell ref="K15:K17"/>
    <mergeCell ref="L15:L17"/>
    <mergeCell ref="M15:N15"/>
    <mergeCell ref="M16:M17"/>
    <mergeCell ref="N16:N17"/>
    <mergeCell ref="A10:P10"/>
    <mergeCell ref="A11:P11"/>
    <mergeCell ref="A14:A17"/>
    <mergeCell ref="B14:B17"/>
    <mergeCell ref="C14:C17"/>
    <mergeCell ref="D14:D17"/>
    <mergeCell ref="E14:I14"/>
    <mergeCell ref="E15:E17"/>
    <mergeCell ref="F15:F17"/>
    <mergeCell ref="G15:H15"/>
    <mergeCell ref="O15:O17"/>
    <mergeCell ref="P14:P17"/>
    <mergeCell ref="G16:G17"/>
    <mergeCell ref="H16:H17"/>
    <mergeCell ref="I15:I17"/>
    <mergeCell ref="J14:O14"/>
  </mergeCells>
  <pageMargins left="0.19685039370078741" right="0.19685039370078741" top="0.19685039370078741" bottom="0.19685039370078741" header="0" footer="0"/>
  <pageSetup paperSize="9" scale="57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2023-03-27T11:57:46Z</cp:lastPrinted>
  <dcterms:created xsi:type="dcterms:W3CDTF">2021-12-07T06:52:40Z</dcterms:created>
  <dcterms:modified xsi:type="dcterms:W3CDTF">2023-03-29T07:26:29Z</dcterms:modified>
</cp:coreProperties>
</file>