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1 КВАРТАЛ\"/>
    </mc:Choice>
  </mc:AlternateContent>
  <bookViews>
    <workbookView xWindow="-120" yWindow="-120" windowWidth="29040" windowHeight="15996"/>
  </bookViews>
  <sheets>
    <sheet name="рік" sheetId="10" r:id="rId1"/>
  </sheets>
  <definedNames>
    <definedName name="_xlnm.Print_Titles" localSheetId="0">рік!$3:$8</definedName>
    <definedName name="_xlnm.Print_Area" localSheetId="0">рік!$A$1:$T$121</definedName>
  </definedNames>
  <calcPr calcId="152511"/>
</workbook>
</file>

<file path=xl/calcChain.xml><?xml version="1.0" encoding="utf-8"?>
<calcChain xmlns="http://schemas.openxmlformats.org/spreadsheetml/2006/main">
  <c r="M116" i="10" l="1"/>
  <c r="N116" i="10"/>
  <c r="M107" i="10"/>
  <c r="N107" i="10"/>
  <c r="M108" i="10"/>
  <c r="N108" i="10"/>
  <c r="M109" i="10"/>
  <c r="N109" i="10"/>
  <c r="M111" i="10"/>
  <c r="N111" i="10"/>
  <c r="Q104" i="10"/>
  <c r="R104" i="10"/>
  <c r="S101" i="10"/>
  <c r="T101" i="10"/>
  <c r="S102" i="10"/>
  <c r="T102" i="10"/>
  <c r="Q102" i="10"/>
  <c r="R102" i="10"/>
  <c r="M91" i="10"/>
  <c r="N91" i="10"/>
  <c r="M89" i="10"/>
  <c r="N89" i="10"/>
  <c r="O75" i="10"/>
  <c r="M74" i="10"/>
  <c r="N74" i="10"/>
  <c r="M67" i="10"/>
  <c r="N67" i="10"/>
  <c r="M62" i="10"/>
  <c r="N62" i="10"/>
  <c r="M57" i="10"/>
  <c r="N57" i="10"/>
  <c r="M58" i="10"/>
  <c r="N58" i="10"/>
  <c r="M53" i="10"/>
  <c r="N53" i="10"/>
  <c r="Q49" i="10"/>
  <c r="R49" i="10"/>
  <c r="M48" i="10"/>
  <c r="N48" i="10"/>
  <c r="M41" i="10"/>
  <c r="N41" i="10"/>
  <c r="M42" i="10"/>
  <c r="N42" i="10"/>
  <c r="M40" i="10"/>
  <c r="N40" i="10"/>
  <c r="M38" i="10"/>
  <c r="N38" i="10"/>
  <c r="N37" i="10"/>
  <c r="O37" i="10"/>
  <c r="M37" i="10"/>
  <c r="R35" i="10"/>
  <c r="N35" i="10"/>
  <c r="N32" i="10"/>
  <c r="N33" i="10"/>
  <c r="N34" i="10"/>
  <c r="M32" i="10"/>
  <c r="M33" i="10"/>
  <c r="M34" i="10"/>
  <c r="N31" i="10"/>
  <c r="Q30" i="10"/>
  <c r="R30" i="10"/>
  <c r="M20" i="10"/>
  <c r="N20" i="10"/>
  <c r="M21" i="10"/>
  <c r="N21" i="10"/>
  <c r="M22" i="10"/>
  <c r="N22" i="10"/>
  <c r="M23" i="10"/>
  <c r="N23" i="10"/>
  <c r="M13" i="10"/>
  <c r="N13" i="10"/>
  <c r="K72" i="10" l="1"/>
  <c r="L72" i="10"/>
  <c r="J72" i="10"/>
  <c r="G72" i="10"/>
  <c r="H72" i="10"/>
  <c r="F72" i="10"/>
  <c r="K108" i="10" l="1"/>
  <c r="L108" i="10"/>
  <c r="G108" i="10"/>
  <c r="H108" i="10"/>
  <c r="F108" i="10"/>
  <c r="L97" i="10" l="1"/>
  <c r="I35" i="10" l="1"/>
  <c r="J34" i="10"/>
  <c r="K100" i="10" l="1"/>
  <c r="J100" i="10"/>
  <c r="G100" i="10"/>
  <c r="H100" i="10"/>
  <c r="F100" i="10"/>
  <c r="G88" i="10"/>
  <c r="H88" i="10"/>
  <c r="F88" i="10"/>
  <c r="K97" i="10"/>
  <c r="K88" i="10" s="1"/>
  <c r="K69" i="10"/>
  <c r="K12" i="10"/>
  <c r="L118" i="10"/>
  <c r="L106" i="10"/>
  <c r="L105" i="10"/>
  <c r="L100" i="10" s="1"/>
  <c r="I102" i="10"/>
  <c r="E102" i="10"/>
  <c r="L88" i="10"/>
  <c r="K77" i="10"/>
  <c r="K75" i="10"/>
  <c r="K76" i="10"/>
  <c r="K45" i="10"/>
  <c r="K43" i="10"/>
  <c r="K39" i="10"/>
  <c r="K38" i="10"/>
  <c r="K37" i="10"/>
  <c r="K113" i="10" l="1"/>
  <c r="L113" i="10"/>
  <c r="J113" i="10"/>
  <c r="G113" i="10"/>
  <c r="H113" i="10"/>
  <c r="F113" i="10"/>
  <c r="J111" i="10"/>
  <c r="J108" i="10" s="1"/>
  <c r="I104" i="10"/>
  <c r="J97" i="10"/>
  <c r="J96" i="10"/>
  <c r="N96" i="10" s="1"/>
  <c r="J94" i="10"/>
  <c r="K81" i="10"/>
  <c r="L81" i="10"/>
  <c r="G81" i="10"/>
  <c r="H81" i="10"/>
  <c r="F81" i="10"/>
  <c r="I86" i="10"/>
  <c r="I84" i="10"/>
  <c r="I85" i="10"/>
  <c r="J83" i="10"/>
  <c r="J81" i="10" s="1"/>
  <c r="I82" i="10"/>
  <c r="J70" i="10"/>
  <c r="K56" i="10"/>
  <c r="L56" i="10"/>
  <c r="G56" i="10"/>
  <c r="H56" i="10"/>
  <c r="F56" i="10"/>
  <c r="K34" i="10"/>
  <c r="L34" i="10"/>
  <c r="G34" i="10"/>
  <c r="H34" i="10"/>
  <c r="F34" i="10"/>
  <c r="I49" i="10"/>
  <c r="E49" i="10"/>
  <c r="I30" i="10"/>
  <c r="J56" i="10" l="1"/>
  <c r="N70" i="10"/>
  <c r="J88" i="10"/>
  <c r="I83" i="10"/>
  <c r="J21" i="10"/>
  <c r="K11" i="10"/>
  <c r="J11" i="10"/>
  <c r="I12" i="10"/>
  <c r="I34" i="10"/>
  <c r="I33" i="10" s="1"/>
  <c r="K33" i="10"/>
  <c r="I13" i="10"/>
  <c r="I15" i="10"/>
  <c r="I14" i="10"/>
  <c r="I11" i="10" l="1"/>
  <c r="J33" i="10"/>
  <c r="L24" i="10" l="1"/>
  <c r="L10" i="10" s="1"/>
  <c r="K24" i="10"/>
  <c r="K10" i="10" s="1"/>
  <c r="J24" i="10"/>
  <c r="J10" i="10" s="1"/>
  <c r="I24" i="10" l="1"/>
  <c r="N12" i="10"/>
  <c r="R12" i="10"/>
  <c r="T12" i="10"/>
  <c r="R13" i="10"/>
  <c r="T13" i="10"/>
  <c r="N14" i="10"/>
  <c r="R14" i="10"/>
  <c r="T14" i="10"/>
  <c r="N15" i="10"/>
  <c r="R15" i="10"/>
  <c r="T15" i="10"/>
  <c r="R16" i="10"/>
  <c r="S16" i="10"/>
  <c r="T16" i="10"/>
  <c r="R17" i="10"/>
  <c r="S17" i="10"/>
  <c r="T17" i="10"/>
  <c r="N18" i="10"/>
  <c r="R18" i="10"/>
  <c r="S18" i="10"/>
  <c r="T18" i="10"/>
  <c r="N19" i="10"/>
  <c r="R19" i="10"/>
  <c r="S19" i="10"/>
  <c r="R20" i="10"/>
  <c r="S20" i="10"/>
  <c r="T20" i="10"/>
  <c r="S21" i="10"/>
  <c r="T21" i="10"/>
  <c r="R22" i="10"/>
  <c r="S22" i="10"/>
  <c r="T22" i="10"/>
  <c r="R23" i="10"/>
  <c r="S23" i="10"/>
  <c r="T23" i="10"/>
  <c r="N25" i="10"/>
  <c r="R25" i="10"/>
  <c r="S25" i="10"/>
  <c r="T25" i="10"/>
  <c r="N26" i="10"/>
  <c r="R26" i="10"/>
  <c r="S26" i="10"/>
  <c r="T26" i="10"/>
  <c r="N27" i="10"/>
  <c r="R27" i="10"/>
  <c r="S27" i="10"/>
  <c r="T27" i="10"/>
  <c r="S28" i="10"/>
  <c r="T28" i="10"/>
  <c r="N29" i="10"/>
  <c r="R29" i="10"/>
  <c r="T29" i="10"/>
  <c r="R31" i="10"/>
  <c r="S31" i="10"/>
  <c r="T31" i="10"/>
  <c r="R32" i="10"/>
  <c r="S32" i="10"/>
  <c r="S35" i="10"/>
  <c r="T35" i="10"/>
  <c r="R36" i="10"/>
  <c r="S36" i="10"/>
  <c r="T36" i="10"/>
  <c r="R37" i="10"/>
  <c r="T37" i="10"/>
  <c r="R38" i="10"/>
  <c r="T38" i="10"/>
  <c r="N39" i="10"/>
  <c r="R39" i="10"/>
  <c r="T39" i="10"/>
  <c r="R40" i="10"/>
  <c r="S40" i="10"/>
  <c r="T40" i="10"/>
  <c r="R41" i="10"/>
  <c r="S41" i="10"/>
  <c r="T41" i="10"/>
  <c r="R42" i="10"/>
  <c r="S42" i="10"/>
  <c r="T42" i="10"/>
  <c r="N43" i="10"/>
  <c r="R43" i="10"/>
  <c r="T43" i="10"/>
  <c r="N44" i="10"/>
  <c r="R44" i="10"/>
  <c r="T44" i="10"/>
  <c r="N45" i="10"/>
  <c r="R45" i="10"/>
  <c r="T45" i="10"/>
  <c r="N46" i="10"/>
  <c r="R46" i="10"/>
  <c r="S46" i="10"/>
  <c r="T46" i="10"/>
  <c r="R47" i="10"/>
  <c r="S47" i="10"/>
  <c r="T47" i="10"/>
  <c r="R48" i="10"/>
  <c r="S48" i="10"/>
  <c r="T48" i="10"/>
  <c r="R50" i="10"/>
  <c r="S50" i="10"/>
  <c r="T50" i="10"/>
  <c r="N51" i="10"/>
  <c r="R51" i="10"/>
  <c r="S51" i="10"/>
  <c r="T51" i="10"/>
  <c r="R52" i="10"/>
  <c r="S52" i="10"/>
  <c r="T52" i="10"/>
  <c r="R53" i="10"/>
  <c r="T53" i="10"/>
  <c r="R54" i="10"/>
  <c r="S54" i="10"/>
  <c r="R57" i="10"/>
  <c r="S57" i="10"/>
  <c r="R58" i="10"/>
  <c r="S58" i="10"/>
  <c r="T58" i="10"/>
  <c r="N59" i="10"/>
  <c r="R59" i="10"/>
  <c r="S59" i="10"/>
  <c r="T59" i="10"/>
  <c r="R60" i="10"/>
  <c r="S60" i="10"/>
  <c r="T60" i="10"/>
  <c r="R61" i="10"/>
  <c r="S61" i="10"/>
  <c r="T61" i="10"/>
  <c r="R62" i="10"/>
  <c r="S62" i="10"/>
  <c r="T62" i="10"/>
  <c r="N63" i="10"/>
  <c r="R63" i="10"/>
  <c r="S63" i="10"/>
  <c r="T63" i="10"/>
  <c r="N64" i="10"/>
  <c r="R64" i="10"/>
  <c r="S64" i="10"/>
  <c r="N65" i="10"/>
  <c r="R65" i="10"/>
  <c r="S65" i="10"/>
  <c r="T65" i="10"/>
  <c r="R66" i="10"/>
  <c r="S66" i="10"/>
  <c r="T66" i="10"/>
  <c r="R67" i="10"/>
  <c r="S67" i="10"/>
  <c r="T67" i="10"/>
  <c r="N68" i="10"/>
  <c r="R68" i="10"/>
  <c r="S68" i="10"/>
  <c r="T68" i="10"/>
  <c r="T69" i="10"/>
  <c r="S70" i="10"/>
  <c r="T70" i="10"/>
  <c r="N73" i="10"/>
  <c r="R73" i="10"/>
  <c r="S73" i="10"/>
  <c r="T73" i="10"/>
  <c r="R74" i="10"/>
  <c r="S74" i="10"/>
  <c r="T74" i="10"/>
  <c r="N75" i="10"/>
  <c r="R75" i="10"/>
  <c r="S75" i="10"/>
  <c r="T75" i="10"/>
  <c r="N76" i="10"/>
  <c r="R76" i="10"/>
  <c r="S76" i="10"/>
  <c r="T76" i="10"/>
  <c r="N77" i="10"/>
  <c r="R77" i="10"/>
  <c r="T77" i="10"/>
  <c r="N78" i="10"/>
  <c r="R78" i="10"/>
  <c r="S78" i="10"/>
  <c r="T78" i="10"/>
  <c r="N79" i="10"/>
  <c r="R79" i="10"/>
  <c r="S79" i="10"/>
  <c r="T79" i="10"/>
  <c r="N82" i="10"/>
  <c r="R82" i="10"/>
  <c r="S82" i="10"/>
  <c r="R83" i="10"/>
  <c r="S83" i="10"/>
  <c r="T83" i="10"/>
  <c r="R84" i="10"/>
  <c r="S84" i="10"/>
  <c r="T84" i="10"/>
  <c r="R85" i="10"/>
  <c r="S85" i="10"/>
  <c r="T85" i="10"/>
  <c r="R86" i="10"/>
  <c r="S86" i="10"/>
  <c r="T86" i="10"/>
  <c r="R89" i="10"/>
  <c r="R90" i="10"/>
  <c r="S90" i="10"/>
  <c r="T90" i="10"/>
  <c r="R91" i="10"/>
  <c r="S91" i="10"/>
  <c r="T91" i="10"/>
  <c r="N92" i="10"/>
  <c r="R92" i="10"/>
  <c r="S92" i="10"/>
  <c r="S93" i="10"/>
  <c r="T93" i="10"/>
  <c r="N95" i="10"/>
  <c r="R95" i="10"/>
  <c r="S95" i="10"/>
  <c r="T95" i="10"/>
  <c r="S96" i="10"/>
  <c r="T96" i="10"/>
  <c r="R98" i="10"/>
  <c r="S98" i="10"/>
  <c r="T98" i="10"/>
  <c r="N101" i="10"/>
  <c r="R101" i="10"/>
  <c r="R103" i="10"/>
  <c r="S103" i="10"/>
  <c r="R105" i="10"/>
  <c r="S105" i="10"/>
  <c r="S106" i="10"/>
  <c r="R109" i="10"/>
  <c r="S109" i="10"/>
  <c r="R110" i="10"/>
  <c r="S110" i="10"/>
  <c r="T110" i="10"/>
  <c r="S111" i="10"/>
  <c r="T111" i="10"/>
  <c r="N114" i="10"/>
  <c r="R114" i="10"/>
  <c r="S114" i="10"/>
  <c r="T114" i="10"/>
  <c r="N115" i="10"/>
  <c r="R115" i="10"/>
  <c r="S115" i="10"/>
  <c r="T115" i="10"/>
  <c r="R116" i="10"/>
  <c r="S116" i="10"/>
  <c r="T116" i="10"/>
  <c r="R117" i="10"/>
  <c r="S117" i="10"/>
  <c r="R118" i="10"/>
  <c r="S118" i="10"/>
  <c r="S100" i="10" l="1"/>
  <c r="I32" i="10"/>
  <c r="E32" i="10"/>
  <c r="S14" i="10"/>
  <c r="S15" i="10"/>
  <c r="S13" i="10"/>
  <c r="I110" i="10"/>
  <c r="E110" i="10"/>
  <c r="E106" i="10"/>
  <c r="S43" i="10" l="1"/>
  <c r="T106" i="10"/>
  <c r="T19" i="10"/>
  <c r="S44" i="10"/>
  <c r="S94" i="10"/>
  <c r="R94" i="10"/>
  <c r="N94" i="10"/>
  <c r="S89" i="10"/>
  <c r="R106" i="10"/>
  <c r="T54" i="10"/>
  <c r="Q32" i="10"/>
  <c r="S53" i="10"/>
  <c r="R108" i="10"/>
  <c r="S97" i="10"/>
  <c r="Q110" i="10"/>
  <c r="S108" i="10"/>
  <c r="T32" i="10"/>
  <c r="S38" i="10"/>
  <c r="T118" i="10"/>
  <c r="S45" i="10"/>
  <c r="R111" i="10"/>
  <c r="S37" i="10"/>
  <c r="S69" i="10"/>
  <c r="S12" i="10"/>
  <c r="S29" i="10"/>
  <c r="S39" i="10"/>
  <c r="S77" i="10"/>
  <c r="I106" i="10"/>
  <c r="E97" i="10"/>
  <c r="E96" i="10"/>
  <c r="E69" i="10"/>
  <c r="I54" i="10"/>
  <c r="E54" i="10"/>
  <c r="R21" i="10"/>
  <c r="I20" i="10"/>
  <c r="E20" i="10"/>
  <c r="E21" i="10"/>
  <c r="Q20" i="10" l="1"/>
  <c r="R34" i="10"/>
  <c r="R28" i="10"/>
  <c r="S88" i="10"/>
  <c r="R97" i="10"/>
  <c r="Q106" i="10"/>
  <c r="T34" i="10"/>
  <c r="R100" i="10"/>
  <c r="N100" i="10"/>
  <c r="Q54" i="10"/>
  <c r="N72" i="10"/>
  <c r="R72" i="10"/>
  <c r="T72" i="10"/>
  <c r="T97" i="10"/>
  <c r="S56" i="10"/>
  <c r="O72" i="10"/>
  <c r="S72" i="10"/>
  <c r="R96" i="10"/>
  <c r="I69" i="10"/>
  <c r="R69" i="10"/>
  <c r="R93" i="10"/>
  <c r="N93" i="10"/>
  <c r="S34" i="10"/>
  <c r="O34" i="10"/>
  <c r="R70" i="10"/>
  <c r="I97" i="10"/>
  <c r="I28" i="10"/>
  <c r="I96" i="10"/>
  <c r="M96" i="10" s="1"/>
  <c r="I21" i="10"/>
  <c r="Q21" i="10" s="1"/>
  <c r="I108" i="10"/>
  <c r="Q69" i="10" l="1"/>
  <c r="Q28" i="10"/>
  <c r="Q97" i="10"/>
  <c r="T105" i="10"/>
  <c r="N56" i="10"/>
  <c r="R56" i="10"/>
  <c r="Q96" i="10"/>
  <c r="I56" i="10"/>
  <c r="T117" i="10"/>
  <c r="T109" i="10"/>
  <c r="R88" i="10"/>
  <c r="N88" i="10"/>
  <c r="T103" i="10" l="1"/>
  <c r="T94" i="10"/>
  <c r="T108" i="10"/>
  <c r="T89" i="10"/>
  <c r="T92" i="10"/>
  <c r="T82" i="10"/>
  <c r="E50" i="10"/>
  <c r="T64" i="10" l="1"/>
  <c r="T88" i="10"/>
  <c r="T100" i="10"/>
  <c r="T57" i="10"/>
  <c r="T56" i="10" l="1"/>
  <c r="I105" i="10"/>
  <c r="E105" i="10"/>
  <c r="Q105" i="10" l="1"/>
  <c r="H99" i="10"/>
  <c r="G99" i="10" l="1"/>
  <c r="I31" i="10" l="1"/>
  <c r="E31" i="10"/>
  <c r="Q31" i="10" l="1"/>
  <c r="M31" i="10"/>
  <c r="I103" i="10" l="1"/>
  <c r="E103" i="10"/>
  <c r="I90" i="10"/>
  <c r="E90" i="10"/>
  <c r="N81" i="10" l="1"/>
  <c r="R81" i="10"/>
  <c r="S113" i="10"/>
  <c r="R113" i="10"/>
  <c r="N113" i="10"/>
  <c r="T113" i="10"/>
  <c r="S81" i="10"/>
  <c r="Q90" i="10"/>
  <c r="Q103" i="10"/>
  <c r="T81" i="10"/>
  <c r="L87" i="10"/>
  <c r="E109" i="10"/>
  <c r="E111" i="10" l="1"/>
  <c r="I91" i="10" l="1"/>
  <c r="I92" i="10"/>
  <c r="E92" i="10"/>
  <c r="E91" i="10"/>
  <c r="Q91" i="10" l="1"/>
  <c r="Q92" i="10"/>
  <c r="M92" i="10"/>
  <c r="E93" i="10"/>
  <c r="I36" i="10" l="1"/>
  <c r="E36" i="10"/>
  <c r="Q36" i="10" l="1"/>
  <c r="H24" i="10"/>
  <c r="G24" i="10"/>
  <c r="S24" i="10" l="1"/>
  <c r="T24" i="10"/>
  <c r="I51" i="10"/>
  <c r="E51" i="10"/>
  <c r="I42" i="10"/>
  <c r="E42" i="10"/>
  <c r="Q51" i="10" l="1"/>
  <c r="M51" i="10"/>
  <c r="Q42" i="10"/>
  <c r="L71" i="10"/>
  <c r="I117" i="10"/>
  <c r="E117" i="10"/>
  <c r="Q117" i="10" l="1"/>
  <c r="E39" i="10" l="1"/>
  <c r="I50" i="10" l="1"/>
  <c r="Q50" i="10" l="1"/>
  <c r="E19" i="10"/>
  <c r="E18" i="10"/>
  <c r="E16" i="10"/>
  <c r="I19" i="10"/>
  <c r="I18" i="10"/>
  <c r="I16" i="10"/>
  <c r="M19" i="10" l="1"/>
  <c r="Q19" i="10"/>
  <c r="M18" i="10"/>
  <c r="Q18" i="10"/>
  <c r="Q16" i="10"/>
  <c r="I48" i="10" l="1"/>
  <c r="I47" i="10"/>
  <c r="I41" i="10"/>
  <c r="I40" i="10"/>
  <c r="E118" i="10"/>
  <c r="E98" i="10"/>
  <c r="I98" i="10"/>
  <c r="E41" i="10"/>
  <c r="E40" i="10"/>
  <c r="E48" i="10"/>
  <c r="E47" i="10"/>
  <c r="I39" i="10"/>
  <c r="I38" i="10"/>
  <c r="F24" i="10"/>
  <c r="I118" i="10"/>
  <c r="Q39" i="10" l="1"/>
  <c r="M39" i="10"/>
  <c r="Q41" i="10"/>
  <c r="Q47" i="10"/>
  <c r="Q118" i="10"/>
  <c r="Q48" i="10"/>
  <c r="Q40" i="10"/>
  <c r="R24" i="10"/>
  <c r="N24" i="10"/>
  <c r="Q98" i="10"/>
  <c r="I113" i="10"/>
  <c r="I88" i="10"/>
  <c r="I100" i="10"/>
  <c r="E38" i="10"/>
  <c r="Q38" i="10" s="1"/>
  <c r="I29" i="10" l="1"/>
  <c r="E29" i="10"/>
  <c r="E116" i="10"/>
  <c r="E115" i="10"/>
  <c r="E114" i="10"/>
  <c r="H112" i="10"/>
  <c r="G112" i="10"/>
  <c r="F112" i="10"/>
  <c r="H107" i="10"/>
  <c r="E101" i="10"/>
  <c r="E95" i="10"/>
  <c r="E89" i="10"/>
  <c r="E86" i="10"/>
  <c r="E85" i="10"/>
  <c r="E84" i="10"/>
  <c r="E83" i="10"/>
  <c r="E82" i="10"/>
  <c r="H80" i="10"/>
  <c r="G80" i="10"/>
  <c r="F80" i="10"/>
  <c r="E79" i="10"/>
  <c r="E78" i="10"/>
  <c r="E77" i="10"/>
  <c r="E76" i="10"/>
  <c r="E75" i="10"/>
  <c r="E73" i="10"/>
  <c r="H71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H55" i="10"/>
  <c r="G55" i="10"/>
  <c r="E53" i="10"/>
  <c r="E52" i="10"/>
  <c r="E46" i="10"/>
  <c r="E45" i="10"/>
  <c r="E44" i="10"/>
  <c r="E43" i="10"/>
  <c r="E35" i="10"/>
  <c r="M35" i="10" s="1"/>
  <c r="H33" i="10"/>
  <c r="F33" i="10"/>
  <c r="E27" i="10"/>
  <c r="E26" i="10"/>
  <c r="E25" i="10"/>
  <c r="E23" i="10"/>
  <c r="E22" i="10"/>
  <c r="E17" i="10"/>
  <c r="E15" i="10"/>
  <c r="E14" i="10"/>
  <c r="E13" i="10"/>
  <c r="G11" i="10"/>
  <c r="G10" i="10" s="1"/>
  <c r="H11" i="10"/>
  <c r="H10" i="10" s="1"/>
  <c r="F11" i="10"/>
  <c r="F10" i="10" s="1"/>
  <c r="T71" i="10" l="1"/>
  <c r="Q29" i="10"/>
  <c r="M29" i="10"/>
  <c r="H9" i="10"/>
  <c r="G9" i="10"/>
  <c r="H87" i="10"/>
  <c r="G87" i="10"/>
  <c r="F87" i="10"/>
  <c r="E74" i="10"/>
  <c r="G71" i="10"/>
  <c r="E70" i="10"/>
  <c r="E56" i="10"/>
  <c r="E37" i="10"/>
  <c r="G33" i="10"/>
  <c r="E94" i="10"/>
  <c r="E24" i="10"/>
  <c r="E12" i="10"/>
  <c r="E11" i="10"/>
  <c r="E81" i="10"/>
  <c r="E80" i="10" s="1"/>
  <c r="F99" i="10"/>
  <c r="F71" i="10"/>
  <c r="F107" i="10"/>
  <c r="G107" i="10"/>
  <c r="E113" i="10"/>
  <c r="G119" i="10" l="1"/>
  <c r="H119" i="10"/>
  <c r="T87" i="10"/>
  <c r="E55" i="10"/>
  <c r="M56" i="10"/>
  <c r="Q56" i="10"/>
  <c r="E112" i="10"/>
  <c r="Q113" i="10"/>
  <c r="M113" i="10"/>
  <c r="E100" i="10"/>
  <c r="E72" i="10"/>
  <c r="E71" i="10" s="1"/>
  <c r="E34" i="10"/>
  <c r="F55" i="10"/>
  <c r="E88" i="10"/>
  <c r="E108" i="10"/>
  <c r="E10" i="10"/>
  <c r="E9" i="10" s="1"/>
  <c r="F9" i="10"/>
  <c r="F119" i="10" s="1"/>
  <c r="E107" i="10" l="1"/>
  <c r="Q108" i="10"/>
  <c r="E33" i="10"/>
  <c r="Q34" i="10"/>
  <c r="E99" i="10"/>
  <c r="Q100" i="10"/>
  <c r="E87" i="10"/>
  <c r="M88" i="10"/>
  <c r="Q88" i="10"/>
  <c r="E119" i="10"/>
  <c r="I17" i="10" l="1"/>
  <c r="I22" i="10"/>
  <c r="I23" i="10"/>
  <c r="I25" i="10"/>
  <c r="I26" i="10"/>
  <c r="I27" i="10"/>
  <c r="I37" i="10"/>
  <c r="I43" i="10"/>
  <c r="I44" i="10"/>
  <c r="I45" i="10"/>
  <c r="I46" i="10"/>
  <c r="I52" i="10"/>
  <c r="I53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70" i="10"/>
  <c r="I73" i="10"/>
  <c r="I74" i="10"/>
  <c r="I75" i="10"/>
  <c r="I76" i="10"/>
  <c r="I77" i="10"/>
  <c r="I78" i="10"/>
  <c r="I79" i="10"/>
  <c r="I89" i="10"/>
  <c r="I93" i="10"/>
  <c r="I94" i="10"/>
  <c r="I95" i="10"/>
  <c r="I101" i="10"/>
  <c r="I109" i="10"/>
  <c r="I111" i="10"/>
  <c r="I114" i="10"/>
  <c r="I115" i="10"/>
  <c r="I116" i="10"/>
  <c r="Q45" i="10" l="1"/>
  <c r="M45" i="10"/>
  <c r="Q27" i="10"/>
  <c r="M27" i="10"/>
  <c r="Q111" i="10"/>
  <c r="Q67" i="10"/>
  <c r="Q60" i="10"/>
  <c r="Q44" i="10"/>
  <c r="M44" i="10"/>
  <c r="Q26" i="10"/>
  <c r="M26" i="10"/>
  <c r="M101" i="10"/>
  <c r="Q101" i="10"/>
  <c r="M77" i="10"/>
  <c r="Q77" i="10"/>
  <c r="Q66" i="10"/>
  <c r="M59" i="10"/>
  <c r="Q59" i="10"/>
  <c r="Q43" i="10"/>
  <c r="M43" i="10"/>
  <c r="Q25" i="10"/>
  <c r="M25" i="10"/>
  <c r="M78" i="10"/>
  <c r="Q78" i="10"/>
  <c r="Q14" i="10"/>
  <c r="M14" i="10"/>
  <c r="Q84" i="10"/>
  <c r="M76" i="10"/>
  <c r="Q76" i="10"/>
  <c r="M65" i="10"/>
  <c r="Q65" i="10"/>
  <c r="Q58" i="10"/>
  <c r="Q37" i="10"/>
  <c r="Q23" i="10"/>
  <c r="Q109" i="10"/>
  <c r="Q13" i="10"/>
  <c r="M75" i="10"/>
  <c r="Q75" i="10"/>
  <c r="Q57" i="10"/>
  <c r="Q35" i="10"/>
  <c r="Q22" i="10"/>
  <c r="Q89" i="10"/>
  <c r="M12" i="10"/>
  <c r="Q12" i="10"/>
  <c r="Q85" i="10"/>
  <c r="M95" i="10"/>
  <c r="Q95" i="10"/>
  <c r="M64" i="10"/>
  <c r="Q64" i="10"/>
  <c r="Q116" i="10"/>
  <c r="Q94" i="10"/>
  <c r="M94" i="10"/>
  <c r="Q83" i="10"/>
  <c r="Q74" i="10"/>
  <c r="M63" i="10"/>
  <c r="Q63" i="10"/>
  <c r="Q53" i="10"/>
  <c r="Q17" i="10"/>
  <c r="M79" i="10"/>
  <c r="Q79" i="10"/>
  <c r="Q86" i="10"/>
  <c r="Q93" i="10"/>
  <c r="M93" i="10"/>
  <c r="M73" i="10"/>
  <c r="Q73" i="10"/>
  <c r="Q62" i="10"/>
  <c r="Q52" i="10"/>
  <c r="M68" i="10"/>
  <c r="Q68" i="10"/>
  <c r="M15" i="10"/>
  <c r="Q15" i="10"/>
  <c r="Q115" i="10"/>
  <c r="M115" i="10"/>
  <c r="M114" i="10"/>
  <c r="Q114" i="10"/>
  <c r="M82" i="10"/>
  <c r="Q82" i="10"/>
  <c r="M70" i="10"/>
  <c r="Q70" i="10"/>
  <c r="Q61" i="10"/>
  <c r="Q46" i="10"/>
  <c r="M46" i="10"/>
  <c r="K9" i="10"/>
  <c r="R10" i="10"/>
  <c r="J87" i="10"/>
  <c r="J99" i="10"/>
  <c r="S11" i="10"/>
  <c r="K80" i="10"/>
  <c r="T11" i="10"/>
  <c r="L80" i="10"/>
  <c r="J80" i="10"/>
  <c r="J112" i="10"/>
  <c r="R11" i="10"/>
  <c r="Q11" i="10"/>
  <c r="K112" i="10"/>
  <c r="L112" i="10"/>
  <c r="K107" i="10"/>
  <c r="L107" i="10"/>
  <c r="L99" i="10"/>
  <c r="K87" i="10"/>
  <c r="L55" i="10"/>
  <c r="L33" i="10"/>
  <c r="K55" i="10"/>
  <c r="K71" i="10"/>
  <c r="J107" i="10"/>
  <c r="J71" i="10"/>
  <c r="N11" i="10"/>
  <c r="K99" i="10"/>
  <c r="I81" i="10"/>
  <c r="I72" i="10"/>
  <c r="J55" i="10"/>
  <c r="K119" i="10" l="1"/>
  <c r="S33" i="10"/>
  <c r="O33" i="10"/>
  <c r="M81" i="10"/>
  <c r="Q81" i="10"/>
  <c r="S55" i="10"/>
  <c r="T112" i="10"/>
  <c r="S80" i="10"/>
  <c r="S112" i="10"/>
  <c r="S99" i="10"/>
  <c r="T33" i="10"/>
  <c r="R99" i="10"/>
  <c r="N99" i="10"/>
  <c r="M72" i="10"/>
  <c r="Q72" i="10"/>
  <c r="R71" i="10"/>
  <c r="N71" i="10"/>
  <c r="Q24" i="10"/>
  <c r="M24" i="10"/>
  <c r="S87" i="10"/>
  <c r="R112" i="10"/>
  <c r="N112" i="10"/>
  <c r="S107" i="10"/>
  <c r="R107" i="10"/>
  <c r="R33" i="10"/>
  <c r="O71" i="10"/>
  <c r="S71" i="10"/>
  <c r="T99" i="10"/>
  <c r="R80" i="10"/>
  <c r="N80" i="10"/>
  <c r="T55" i="10"/>
  <c r="R87" i="10"/>
  <c r="N87" i="10"/>
  <c r="N55" i="10"/>
  <c r="R55" i="10"/>
  <c r="T107" i="10"/>
  <c r="T80" i="10"/>
  <c r="I112" i="10"/>
  <c r="I107" i="10"/>
  <c r="S10" i="10"/>
  <c r="T10" i="10"/>
  <c r="I80" i="10"/>
  <c r="M11" i="10"/>
  <c r="I99" i="10"/>
  <c r="I87" i="10"/>
  <c r="L9" i="10"/>
  <c r="L119" i="10" s="1"/>
  <c r="I10" i="10"/>
  <c r="I9" i="10" s="1"/>
  <c r="I71" i="10"/>
  <c r="I55" i="10"/>
  <c r="N10" i="10"/>
  <c r="J9" i="10"/>
  <c r="J119" i="10" s="1"/>
  <c r="M80" i="10" l="1"/>
  <c r="Q80" i="10"/>
  <c r="M55" i="10"/>
  <c r="Q55" i="10"/>
  <c r="M71" i="10"/>
  <c r="Q71" i="10"/>
  <c r="Q87" i="10"/>
  <c r="M87" i="10"/>
  <c r="R119" i="10"/>
  <c r="N119" i="10"/>
  <c r="Q99" i="10"/>
  <c r="M112" i="10"/>
  <c r="Q112" i="10"/>
  <c r="S119" i="10"/>
  <c r="Q107" i="10"/>
  <c r="Q33" i="10"/>
  <c r="T9" i="10"/>
  <c r="S9" i="10"/>
  <c r="Q10" i="10"/>
  <c r="Q9" i="10"/>
  <c r="N9" i="10"/>
  <c r="R9" i="10"/>
  <c r="M10" i="10"/>
  <c r="T119" i="10" l="1"/>
  <c r="M9" i="10"/>
  <c r="I119" i="10"/>
  <c r="M119" i="10" l="1"/>
  <c r="Q119" i="10"/>
</calcChain>
</file>

<file path=xl/sharedStrings.xml><?xml version="1.0" encoding="utf-8"?>
<sst xmlns="http://schemas.openxmlformats.org/spreadsheetml/2006/main" count="432" uniqueCount="300">
  <si>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</si>
  <si>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</si>
  <si>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</si>
  <si>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</si>
  <si>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</si>
  <si>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</si>
  <si>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</si>
  <si>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</si>
  <si>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</si>
  <si>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</si>
  <si>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</si>
  <si>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</si>
  <si>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</si>
  <si>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</si>
  <si>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</si>
  <si>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</si>
  <si>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</si>
  <si>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</si>
  <si>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</si>
  <si>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</si>
  <si>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</si>
  <si>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</si>
  <si>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</si>
  <si>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</si>
  <si>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</si>
  <si>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</si>
  <si>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</si>
  <si>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</si>
  <si>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</si>
  <si>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</si>
  <si>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</si>
  <si>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</si>
  <si>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</si>
  <si>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</si>
  <si>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</si>
  <si>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</si>
  <si>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</si>
  <si>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</si>
  <si>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</si>
  <si>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</si>
  <si>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</si>
  <si>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</si>
  <si>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</si>
  <si>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</si>
  <si>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</si>
  <si>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</si>
  <si>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</si>
  <si>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</si>
  <si>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</si>
  <si>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</si>
  <si>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</si>
  <si>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</si>
  <si>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</si>
  <si>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</si>
  <si>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</si>
  <si>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</si>
  <si>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Організація благоустрою  населених пунктів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</si>
  <si>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</si>
  <si>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</si>
  <si>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</si>
  <si>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</si>
  <si>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</si>
  <si>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</si>
  <si>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</si>
  <si>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</si>
  <si>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</si>
  <si>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</si>
  <si>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</si>
  <si>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</si>
  <si>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</si>
  <si>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</si>
  <si>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</si>
  <si>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</si>
  <si>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</si>
  <si>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</si>
  <si>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</si>
  <si>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</si>
  <si>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</si>
  <si>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</si>
  <si>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</si>
  <si>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</si>
  <si>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</si>
  <si>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</si>
  <si>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</si>
  <si>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</si>
  <si>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</si>
  <si>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</si>
  <si>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</si>
  <si>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</si>
  <si>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</si>
  <si>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</si>
  <si>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</si>
  <si>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</si>
  <si>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</si>
  <si>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</si>
  <si>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</si>
  <si>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</si>
  <si>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</si>
  <si>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</si>
  <si>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</si>
  <si>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</si>
  <si>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</si>
  <si>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</si>
  <si>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</si>
  <si>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</si>
  <si>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</si>
  <si>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</si>
  <si>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</si>
  <si>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</si>
  <si>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</si>
  <si>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</si>
  <si>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</si>
  <si>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</si>
  <si>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</si>
  <si>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</si>
  <si>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</si>
  <si>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</si>
  <si>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</si>
  <si>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</si>
  <si>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</si>
  <si>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</si>
  <si>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</si>
  <si>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</si>
  <si>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</si>
  <si>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</si>
  <si>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</si>
  <si>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</si>
  <si>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</si>
  <si>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</si>
  <si>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</si>
  <si>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</si>
  <si>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</si>
  <si>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</si>
  <si>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</si>
  <si>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</si>
  <si>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</si>
  <si>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</si>
  <si>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</si>
  <si>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</si>
  <si>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</si>
  <si>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</si>
  <si>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</si>
  <si>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</si>
  <si>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</si>
  <si>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</si>
  <si>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</si>
  <si>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</si>
  <si>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</si>
  <si>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</si>
  <si>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</si>
  <si>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</si>
  <si>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</si>
  <si>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</si>
  <si>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</si>
  <si>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</si>
  <si>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</si>
  <si>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</si>
  <si>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</si>
  <si>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</si>
  <si>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</si>
  <si>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</si>
  <si>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</si>
  <si>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</si>
  <si>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</si>
  <si>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</si>
  <si>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</si>
  <si>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</si>
  <si>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9770</t>
  </si>
  <si>
    <t>Інші субвенції з місцевого бюджету</t>
  </si>
  <si>
    <t>3719770</t>
  </si>
  <si>
    <t>0810180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</si>
  <si>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</si>
  <si>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</si>
  <si>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</si>
  <si>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</si>
  <si>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</si>
  <si>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</si>
  <si>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</si>
  <si>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</si>
  <si>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</si>
  <si>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</si>
  <si>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</si>
  <si>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</si>
  <si>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</si>
  <si>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</si>
  <si>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</si>
  <si>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</si>
  <si>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</si>
  <si>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</si>
  <si>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</si>
  <si>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</si>
  <si>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</si>
  <si>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</si>
  <si>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</si>
  <si>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</si>
  <si>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</si>
  <si>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2152</t>
  </si>
  <si>
    <t>0611021</t>
  </si>
  <si>
    <t>0611022</t>
  </si>
  <si>
    <t>1021</t>
  </si>
  <si>
    <t>1022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</si>
  <si>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</si>
  <si>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</si>
  <si>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</si>
  <si>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</si>
  <si>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</si>
  <si>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</si>
  <si>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</si>
  <si>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0611130</t>
  </si>
  <si>
    <t>1130</t>
  </si>
  <si>
    <t>Методичне забезпечення діяльності  закладів освіти</t>
  </si>
  <si>
    <t>0611141</t>
  </si>
  <si>
    <t>1141</t>
  </si>
  <si>
    <t>0611142</t>
  </si>
  <si>
    <t>1142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</si>
  <si>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</si>
  <si>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</si>
  <si>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</si>
  <si>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</si>
  <si>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</si>
  <si>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</si>
  <si>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</si>
  <si>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</si>
  <si>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</si>
  <si>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</si>
  <si>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</si>
  <si>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</si>
  <si>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</si>
  <si>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</si>
  <si>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</si>
  <si>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</si>
  <si>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</si>
  <si>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</si>
  <si>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</si>
  <si>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0380</t>
  </si>
  <si>
    <t>Стоматологічна допомога населенню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</si>
  <si>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</si>
  <si>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</si>
  <si>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</si>
  <si>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</si>
  <si>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</si>
  <si>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</si>
  <si>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0611061</t>
  </si>
  <si>
    <t>1061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</si>
  <si>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</si>
  <si>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 освіти, заходи із позашкільної роботи з дітьми</t>
  </si>
  <si>
    <t>0610180</t>
  </si>
  <si>
    <t>1210180</t>
  </si>
  <si>
    <t>1516030</t>
  </si>
  <si>
    <t>0218230</t>
  </si>
  <si>
    <t>8230</t>
  </si>
  <si>
    <t>Інші заходи громадського порядку та безпеки</t>
  </si>
  <si>
    <t>7390</t>
  </si>
  <si>
    <t>Розвиток мережі центрів надання адміністративних послуг</t>
  </si>
  <si>
    <t>Керівництво і управління у відповідній сфері у містах (місті Києві), селищах, селах, територіальних громадах</t>
  </si>
  <si>
    <t>1517390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</si>
  <si>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</si>
  <si>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</si>
  <si>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</si>
  <si>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</si>
  <si>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</si>
  <si>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0618110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</si>
  <si>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</si>
  <si>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</si>
  <si>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Інші заходи, пов`язані з економічною діяльністю</t>
  </si>
  <si>
    <t>Заходи та роботи з територіальної оборони</t>
  </si>
  <si>
    <t>1518110</t>
  </si>
  <si>
    <t>3116017</t>
  </si>
  <si>
    <t>Інша діяльність, пов`язана з експлуатацією об`єктів житлово-комунального господарства</t>
  </si>
  <si>
    <t>8240</t>
  </si>
  <si>
    <t>0218240</t>
  </si>
  <si>
    <t>Відхилення, грн</t>
  </si>
  <si>
    <t>Показники  бюджету Чорноморської міської територіальної громади за видатками за 1 квартал 2023 року порівняно з аналогічними показниками за відповідний період попереднього бюджетного періоду із зазначенням динаміки їх зміни</t>
  </si>
  <si>
    <t>Виконано за  1  квартал 2022 року, грн</t>
  </si>
  <si>
    <t>Виконано за  1  квартал 2023 року, грн</t>
  </si>
  <si>
    <t>0218220</t>
  </si>
  <si>
    <t>Заходи та роботи з мобілізаційної підготовки місцевого значення</t>
  </si>
  <si>
    <t>0611160</t>
  </si>
  <si>
    <t>Забезпечення діяльності центрів професійного розвитку педагогічних працівників</t>
  </si>
  <si>
    <t>в 16 разів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</si>
  <si>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</si>
  <si>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</si>
  <si>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1516011</t>
  </si>
  <si>
    <t>у 10 разів</t>
  </si>
  <si>
    <t>у 8 разів</t>
  </si>
  <si>
    <t>у 16 разів</t>
  </si>
  <si>
    <t>у 26 разів</t>
  </si>
  <si>
    <t>у 12  разів</t>
  </si>
  <si>
    <t>у 13 разів</t>
  </si>
  <si>
    <t>у  8 різів</t>
  </si>
  <si>
    <t>у 10  разів</t>
  </si>
  <si>
    <t>Надання  загальної  середньої  освіти  закладами  загальної  середньої  освіти за  рахунок коштів  місцевого  бюджету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</si>
  <si>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розвитку, за  рахунок  місцевого бюджету</t>
  </si>
  <si>
    <t>Надання  загальної  середньої  освіти  закладами  загальної  середньої  освіти за  рахунок  освітньої  субвенції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</si>
  <si>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 за рахунок  освітньої  субвенції</t>
  </si>
  <si>
    <t>Управління освіти Чорноморської  міської ради Одеського району Одеської області</t>
  </si>
  <si>
    <t>Управління освіти Чорноморської  міської ради  Одеського району Одеської області</t>
  </si>
  <si>
    <t>у 4 рази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</si>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</sst>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%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1" fillId="0" borderId="0"/>
    <xf numFmtId="0" fontId="23" fillId="0" borderId="0"/>
    <xf numFmtId="0" fontId="22" fillId="0" borderId="0"/>
  </cellStyleXfs>
  <cellXfs count="8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8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 applyAlignment="1">
      <alignment horizontal="left"/>
    </xf>
    <xf numFmtId="49" fontId="4" fillId="2" borderId="0" xfId="0" applyNumberFormat="1" applyFont="1" applyFill="1"/>
    <xf numFmtId="165" fontId="4" fillId="2" borderId="0" xfId="0" applyNumberFormat="1" applyFont="1" applyFill="1"/>
    <xf numFmtId="49" fontId="7" fillId="2" borderId="0" xfId="0" applyNumberFormat="1" applyFont="1" applyFill="1"/>
    <xf numFmtId="0" fontId="13" fillId="2" borderId="0" xfId="0" applyFont="1" applyFill="1" applyAlignment="1">
      <alignment horizontal="left"/>
    </xf>
    <xf numFmtId="0" fontId="17" fillId="2" borderId="0" xfId="0" applyFont="1" applyFill="1"/>
    <xf numFmtId="3" fontId="4" fillId="2" borderId="0" xfId="0" applyNumberFormat="1" applyFont="1" applyFill="1"/>
    <xf numFmtId="4" fontId="4" fillId="2" borderId="0" xfId="0" applyNumberFormat="1" applyFont="1" applyFill="1"/>
    <xf numFmtId="164" fontId="7" fillId="2" borderId="0" xfId="2" applyNumberFormat="1" applyFont="1" applyFill="1"/>
    <xf numFmtId="0" fontId="7" fillId="2" borderId="0" xfId="2" applyFont="1" applyFill="1"/>
    <xf numFmtId="4" fontId="7" fillId="2" borderId="0" xfId="0" applyNumberFormat="1" applyFont="1" applyFill="1"/>
    <xf numFmtId="3" fontId="8" fillId="2" borderId="0" xfId="0" applyNumberFormat="1" applyFont="1" applyFill="1"/>
    <xf numFmtId="0" fontId="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2" fontId="7" fillId="2" borderId="0" xfId="0" applyNumberFormat="1" applyFont="1" applyFill="1"/>
    <xf numFmtId="3" fontId="7" fillId="2" borderId="0" xfId="2" applyNumberFormat="1" applyFont="1" applyFill="1"/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/>
    </xf>
    <xf numFmtId="0" fontId="20" fillId="2" borderId="1" xfId="4" applyFont="1" applyFill="1" applyBorder="1" applyAlignment="1">
      <alignment horizontal="center" vertical="center" wrapText="1"/>
    </xf>
    <xf numFmtId="49" fontId="20" fillId="2" borderId="1" xfId="4" applyNumberFormat="1" applyFont="1" applyFill="1" applyBorder="1" applyAlignment="1">
      <alignment horizontal="center" vertical="center" wrapText="1"/>
    </xf>
    <xf numFmtId="0" fontId="20" fillId="2" borderId="1" xfId="4" quotePrefix="1" applyFont="1" applyFill="1" applyBorder="1" applyAlignment="1">
      <alignment horizontal="left" vertical="center" wrapText="1"/>
    </xf>
    <xf numFmtId="0" fontId="20" fillId="2" borderId="5" xfId="4" quotePrefix="1" applyFont="1" applyFill="1" applyBorder="1" applyAlignment="1">
      <alignment horizontal="left" vertical="center" wrapText="1"/>
    </xf>
    <xf numFmtId="0" fontId="15" fillId="2" borderId="1" xfId="2" applyFont="1" applyFill="1" applyBorder="1" applyAlignment="1">
      <alignment horizontal="left" vertical="center" wrapText="1"/>
    </xf>
    <xf numFmtId="4" fontId="15" fillId="2" borderId="1" xfId="2" applyNumberFormat="1" applyFont="1" applyFill="1" applyBorder="1" applyAlignment="1">
      <alignment horizontal="left" vertical="center" wrapText="1"/>
    </xf>
    <xf numFmtId="166" fontId="15" fillId="2" borderId="1" xfId="2" applyNumberFormat="1" applyFont="1" applyFill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left" vertical="center"/>
    </xf>
    <xf numFmtId="0" fontId="14" fillId="2" borderId="0" xfId="0" applyFont="1" applyFill="1" applyAlignment="1">
      <alignment vertical="center"/>
    </xf>
    <xf numFmtId="4" fontId="15" fillId="2" borderId="1" xfId="2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7" fillId="2" borderId="1" xfId="2" applyFont="1" applyFill="1" applyBorder="1" applyAlignment="1">
      <alignment horizontal="left" vertical="center" wrapText="1"/>
    </xf>
    <xf numFmtId="4" fontId="7" fillId="2" borderId="1" xfId="2" applyNumberFormat="1" applyFont="1" applyFill="1" applyBorder="1" applyAlignment="1">
      <alignment horizontal="left" vertical="center"/>
    </xf>
    <xf numFmtId="166" fontId="7" fillId="2" borderId="1" xfId="2" applyNumberFormat="1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2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2" applyFont="1" applyFill="1" applyBorder="1" applyAlignment="1">
      <alignment horizontal="left" vertical="center" wrapText="1"/>
    </xf>
    <xf numFmtId="4" fontId="16" fillId="2" borderId="1" xfId="2" applyNumberFormat="1" applyFont="1" applyFill="1" applyBorder="1" applyAlignment="1">
      <alignment horizontal="left" vertical="center"/>
    </xf>
    <xf numFmtId="166" fontId="16" fillId="2" borderId="1" xfId="2" applyNumberFormat="1" applyFont="1" applyFill="1" applyBorder="1" applyAlignment="1">
      <alignment horizontal="left" vertical="center"/>
    </xf>
    <xf numFmtId="4" fontId="16" fillId="2" borderId="1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49" fontId="20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7" fillId="2" borderId="1" xfId="3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/>
    </xf>
    <xf numFmtId="166" fontId="24" fillId="2" borderId="1" xfId="2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</xf>
    <xf numFmtId="49" fontId="7" fillId="2" borderId="3" xfId="1" applyNumberFormat="1" applyFont="1" applyFill="1" applyBorder="1" applyAlignment="1" applyProtection="1">
      <alignment horizontal="center" vertical="center" wrapText="1"/>
    </xf>
    <xf numFmtId="49" fontId="7" fillId="2" borderId="4" xfId="1" applyNumberFormat="1" applyFont="1" applyFill="1" applyBorder="1" applyAlignment="1" applyProtection="1">
      <alignment horizontal="center" vertical="center" wrapText="1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</xf>
  </cellXfs>
  <cellStyles count="6">
    <cellStyle name="Звичайний" xfId="0" builtinId="0"/>
    <cellStyle name="Звичайний 2" xfId="4"/>
    <cellStyle name="Обычный 2" xfId="5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8"/>
  <sheetViews>
    <sheetView showZeros="0" tabSelected="1" view="pageBreakPreview" zoomScale="50" zoomScaleNormal="75" zoomScaleSheetLayoutView="50" workbookViewId="0">
      <pane xSplit="4" ySplit="8" topLeftCell="E108" activePane="bottomRight" state="frozen"/>
      <selection pane="topRight" activeCell="E1" sqref="E1"/>
      <selection pane="bottomLeft" activeCell="A13" sqref="A13"/>
      <selection pane="bottomRight" activeCell="D82" sqref="D82"/>
    </sheetView>
  </sheetViews>
  <sheetFormatPr defaultColWidth="8.88671875" defaultRowHeight="14.4" x14ac:dyDescent="0.3"/>
  <cols>
    <col min="1" max="1" width="15.33203125" style="5" customWidth="1"/>
    <col min="2" max="2" width="11.44140625" style="5" customWidth="1"/>
    <col min="3" max="3" width="14.33203125" style="5" customWidth="1"/>
    <col min="4" max="4" width="49.88671875" style="3" customWidth="1"/>
    <col min="5" max="5" width="20.88671875" style="3" customWidth="1"/>
    <col min="6" max="6" width="22.5546875" style="3" customWidth="1"/>
    <col min="7" max="7" width="19.33203125" style="3" customWidth="1"/>
    <col min="8" max="8" width="19.6640625" style="3" customWidth="1"/>
    <col min="9" max="9" width="22.44140625" style="3" customWidth="1"/>
    <col min="10" max="10" width="19.6640625" style="3" customWidth="1"/>
    <col min="11" max="11" width="19.109375" style="3" customWidth="1"/>
    <col min="12" max="12" width="21.5546875" style="3" customWidth="1"/>
    <col min="13" max="13" width="14.109375" style="3" customWidth="1"/>
    <col min="14" max="14" width="14.5546875" style="3" customWidth="1"/>
    <col min="15" max="15" width="13.33203125" style="3" customWidth="1"/>
    <col min="16" max="16" width="15.6640625" style="3" customWidth="1"/>
    <col min="17" max="17" width="21.109375" style="3" customWidth="1"/>
    <col min="18" max="18" width="20.109375" style="3" customWidth="1"/>
    <col min="19" max="19" width="19.109375" style="3" customWidth="1"/>
    <col min="20" max="20" width="20" style="3" customWidth="1"/>
    <col min="21" max="21" width="14.33203125" style="3" bestFit="1" customWidth="1"/>
    <col min="22" max="16384" width="8.88671875" style="3"/>
  </cols>
  <sheetData>
    <row r="1" spans="1:21" x14ac:dyDescent="0.3">
      <c r="A1" s="12"/>
      <c r="D1" s="1"/>
      <c r="E1" s="2"/>
      <c r="F1" s="2"/>
      <c r="G1" s="2"/>
      <c r="H1" s="2"/>
      <c r="I1" s="2"/>
      <c r="J1" s="2"/>
      <c r="K1" s="4"/>
      <c r="L1" s="2"/>
      <c r="M1" s="2"/>
      <c r="N1" s="8"/>
    </row>
    <row r="2" spans="1:21" s="13" customFormat="1" ht="59.25" customHeight="1" x14ac:dyDescent="0.3">
      <c r="A2" s="72" t="s">
        <v>272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spans="1:21" ht="20.399999999999999" customHeight="1" x14ac:dyDescent="0.3">
      <c r="A3" s="73" t="s">
        <v>172</v>
      </c>
      <c r="B3" s="76" t="s">
        <v>173</v>
      </c>
      <c r="C3" s="79" t="s">
        <v>174</v>
      </c>
      <c r="D3" s="80" t="s">
        <v>175</v>
      </c>
      <c r="E3" s="69" t="s">
        <v>273</v>
      </c>
      <c r="F3" s="70"/>
      <c r="G3" s="70"/>
      <c r="H3" s="71"/>
      <c r="I3" s="69" t="s">
        <v>274</v>
      </c>
      <c r="J3" s="70"/>
      <c r="K3" s="70"/>
      <c r="L3" s="71"/>
      <c r="M3" s="69" t="s">
        <v>191</v>
      </c>
      <c r="N3" s="70"/>
      <c r="O3" s="70"/>
      <c r="P3" s="71"/>
      <c r="Q3" s="69" t="s">
        <v>271</v>
      </c>
      <c r="R3" s="70"/>
      <c r="S3" s="70"/>
      <c r="T3" s="71"/>
    </row>
    <row r="4" spans="1:21" ht="25.5" customHeight="1" x14ac:dyDescent="0.3">
      <c r="A4" s="74"/>
      <c r="B4" s="77"/>
      <c r="C4" s="79"/>
      <c r="D4" s="80"/>
      <c r="E4" s="67" t="s">
        <v>188</v>
      </c>
      <c r="F4" s="67" t="s">
        <v>190</v>
      </c>
      <c r="G4" s="67"/>
      <c r="H4" s="67"/>
      <c r="I4" s="67" t="s">
        <v>188</v>
      </c>
      <c r="J4" s="67" t="s">
        <v>190</v>
      </c>
      <c r="K4" s="67"/>
      <c r="L4" s="67"/>
      <c r="M4" s="67" t="s">
        <v>188</v>
      </c>
      <c r="N4" s="67" t="s">
        <v>190</v>
      </c>
      <c r="O4" s="67"/>
      <c r="P4" s="67"/>
      <c r="Q4" s="67" t="s">
        <v>188</v>
      </c>
      <c r="R4" s="67" t="s">
        <v>190</v>
      </c>
      <c r="S4" s="67"/>
      <c r="T4" s="67"/>
    </row>
    <row r="5" spans="1:21" ht="15" customHeight="1" x14ac:dyDescent="0.3">
      <c r="A5" s="74"/>
      <c r="B5" s="77"/>
      <c r="C5" s="79"/>
      <c r="D5" s="80"/>
      <c r="E5" s="67"/>
      <c r="F5" s="67" t="s">
        <v>187</v>
      </c>
      <c r="G5" s="67" t="s">
        <v>186</v>
      </c>
      <c r="H5" s="67"/>
      <c r="I5" s="67"/>
      <c r="J5" s="67" t="s">
        <v>187</v>
      </c>
      <c r="K5" s="67" t="s">
        <v>186</v>
      </c>
      <c r="L5" s="67"/>
      <c r="M5" s="67"/>
      <c r="N5" s="67" t="s">
        <v>187</v>
      </c>
      <c r="O5" s="67" t="s">
        <v>186</v>
      </c>
      <c r="P5" s="67"/>
      <c r="Q5" s="67"/>
      <c r="R5" s="67" t="s">
        <v>187</v>
      </c>
      <c r="S5" s="67" t="s">
        <v>186</v>
      </c>
      <c r="T5" s="67"/>
    </row>
    <row r="6" spans="1:21" ht="24" customHeight="1" x14ac:dyDescent="0.3">
      <c r="A6" s="74"/>
      <c r="B6" s="77"/>
      <c r="C6" s="79"/>
      <c r="D6" s="80"/>
      <c r="E6" s="67"/>
      <c r="F6" s="68"/>
      <c r="G6" s="67" t="s">
        <v>188</v>
      </c>
      <c r="H6" s="21" t="s">
        <v>189</v>
      </c>
      <c r="I6" s="67"/>
      <c r="J6" s="68"/>
      <c r="K6" s="67" t="s">
        <v>188</v>
      </c>
      <c r="L6" s="21" t="s">
        <v>189</v>
      </c>
      <c r="M6" s="67"/>
      <c r="N6" s="68"/>
      <c r="O6" s="67" t="s">
        <v>188</v>
      </c>
      <c r="P6" s="21" t="s">
        <v>189</v>
      </c>
      <c r="Q6" s="67"/>
      <c r="R6" s="68"/>
      <c r="S6" s="67" t="s">
        <v>188</v>
      </c>
      <c r="T6" s="21" t="s">
        <v>189</v>
      </c>
    </row>
    <row r="7" spans="1:21" ht="168.75" customHeight="1" x14ac:dyDescent="0.3">
      <c r="A7" s="75"/>
      <c r="B7" s="78"/>
      <c r="C7" s="79"/>
      <c r="D7" s="80"/>
      <c r="E7" s="67"/>
      <c r="F7" s="68"/>
      <c r="G7" s="67"/>
      <c r="H7" s="21" t="s">
        <v>0</v>
      </c>
      <c r="I7" s="67"/>
      <c r="J7" s="68"/>
      <c r="K7" s="67"/>
      <c r="L7" s="21" t="s">
        <v>0</v>
      </c>
      <c r="M7" s="67"/>
      <c r="N7" s="68"/>
      <c r="O7" s="67"/>
      <c r="P7" s="21" t="s">
        <v>0</v>
      </c>
      <c r="Q7" s="67"/>
      <c r="R7" s="68"/>
      <c r="S7" s="67"/>
      <c r="T7" s="21" t="s">
        <v>0</v>
      </c>
    </row>
    <row r="8" spans="1:21" ht="18" x14ac:dyDescent="0.35">
      <c r="A8" s="24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5">
        <v>15</v>
      </c>
      <c r="P8" s="25">
        <v>16</v>
      </c>
      <c r="Q8" s="26">
        <v>17</v>
      </c>
      <c r="R8" s="26">
        <v>18</v>
      </c>
      <c r="S8" s="26">
        <v>19</v>
      </c>
      <c r="T8" s="26">
        <v>20</v>
      </c>
    </row>
    <row r="9" spans="1:21" s="36" customFormat="1" ht="52.2" x14ac:dyDescent="0.3">
      <c r="A9" s="27" t="s">
        <v>64</v>
      </c>
      <c r="B9" s="27"/>
      <c r="C9" s="27"/>
      <c r="D9" s="32" t="s">
        <v>221</v>
      </c>
      <c r="E9" s="33">
        <f t="shared" ref="E9:L9" si="0">E10</f>
        <v>25205758.289999995</v>
      </c>
      <c r="F9" s="33">
        <f t="shared" si="0"/>
        <v>25201442.889999997</v>
      </c>
      <c r="G9" s="33">
        <f t="shared" si="0"/>
        <v>4315.3999999999996</v>
      </c>
      <c r="H9" s="33">
        <f t="shared" si="0"/>
        <v>0</v>
      </c>
      <c r="I9" s="33">
        <f t="shared" si="0"/>
        <v>28618818.179999996</v>
      </c>
      <c r="J9" s="33">
        <f t="shared" si="0"/>
        <v>28573687.619999997</v>
      </c>
      <c r="K9" s="33">
        <f t="shared" si="0"/>
        <v>45130.559999999998</v>
      </c>
      <c r="L9" s="33">
        <f t="shared" si="0"/>
        <v>0</v>
      </c>
      <c r="M9" s="34">
        <f>I9/E9</f>
        <v>1.13540794332516</v>
      </c>
      <c r="N9" s="34">
        <f t="shared" ref="N9:N11" si="1">J9/F9</f>
        <v>1.1338115735959753</v>
      </c>
      <c r="O9" s="66" t="s">
        <v>283</v>
      </c>
      <c r="P9" s="34"/>
      <c r="Q9" s="35">
        <f>I9-E9</f>
        <v>3413059.8900000006</v>
      </c>
      <c r="R9" s="35">
        <f>J9-F9</f>
        <v>3372244.7300000004</v>
      </c>
      <c r="S9" s="35">
        <f t="shared" ref="S9:T9" si="2">K9-G9</f>
        <v>40815.159999999996</v>
      </c>
      <c r="T9" s="35">
        <f t="shared" si="2"/>
        <v>0</v>
      </c>
    </row>
    <row r="10" spans="1:21" s="38" customFormat="1" ht="52.2" x14ac:dyDescent="0.3">
      <c r="A10" s="27" t="s">
        <v>65</v>
      </c>
      <c r="B10" s="27"/>
      <c r="C10" s="27"/>
      <c r="D10" s="32" t="s">
        <v>222</v>
      </c>
      <c r="E10" s="37">
        <f>F10+G10</f>
        <v>25205758.289999995</v>
      </c>
      <c r="F10" s="37">
        <f>F11+F16+F17+F18+F19+F20+F21+F22+F23+F24+F28+F31+F29+F32+F30</f>
        <v>25201442.889999997</v>
      </c>
      <c r="G10" s="37">
        <f t="shared" ref="G10:H10" si="3">G11+G16+G17+G18+G19+G20+G21+G22+G23+G24+G28+G31+G29+G32+G30</f>
        <v>4315.3999999999996</v>
      </c>
      <c r="H10" s="37">
        <f t="shared" si="3"/>
        <v>0</v>
      </c>
      <c r="I10" s="37">
        <f>J10+K10</f>
        <v>28618818.179999996</v>
      </c>
      <c r="J10" s="37">
        <f>J11+J16+J17+J18+J19+J20+J21+J22+J23+J24+J28+J31+J29+J32+J30</f>
        <v>28573687.619999997</v>
      </c>
      <c r="K10" s="37">
        <f t="shared" ref="K10:L10" si="4">K11+K16+K17+K18+K19+K20+K21+K22+K23+K24+K28+K31+K29+K32+K30</f>
        <v>45130.559999999998</v>
      </c>
      <c r="L10" s="37">
        <f t="shared" si="4"/>
        <v>0</v>
      </c>
      <c r="M10" s="34">
        <f>I10/E10</f>
        <v>1.13540794332516</v>
      </c>
      <c r="N10" s="34">
        <f t="shared" si="1"/>
        <v>1.1338115735959753</v>
      </c>
      <c r="O10" s="66" t="s">
        <v>283</v>
      </c>
      <c r="P10" s="34"/>
      <c r="Q10" s="35">
        <f t="shared" ref="Q10:Q11" si="5">I10-E10</f>
        <v>3413059.8900000006</v>
      </c>
      <c r="R10" s="35">
        <f t="shared" ref="R10:R11" si="6">J10-F10</f>
        <v>3372244.7300000004</v>
      </c>
      <c r="S10" s="35">
        <f t="shared" ref="S10:S11" si="7">K10-G10</f>
        <v>40815.159999999996</v>
      </c>
      <c r="T10" s="35">
        <f t="shared" ref="T10:T11" si="8">L10-H10</f>
        <v>0</v>
      </c>
    </row>
    <row r="11" spans="1:21" s="44" customFormat="1" ht="90" x14ac:dyDescent="0.3">
      <c r="A11" s="24" t="s">
        <v>66</v>
      </c>
      <c r="B11" s="24" t="s">
        <v>53</v>
      </c>
      <c r="C11" s="24" t="s">
        <v>3</v>
      </c>
      <c r="D11" s="39" t="s">
        <v>54</v>
      </c>
      <c r="E11" s="40">
        <f>F11+G11</f>
        <v>12823754.470000001</v>
      </c>
      <c r="F11" s="40">
        <f t="shared" ref="F11:K11" si="9">F12+F13+F14+F15</f>
        <v>12819439.07</v>
      </c>
      <c r="G11" s="40">
        <f t="shared" si="9"/>
        <v>4315.3999999999996</v>
      </c>
      <c r="H11" s="40">
        <f t="shared" si="9"/>
        <v>0</v>
      </c>
      <c r="I11" s="40">
        <f>J11+K11</f>
        <v>14630387.689999999</v>
      </c>
      <c r="J11" s="40">
        <f t="shared" si="9"/>
        <v>14585257.129999999</v>
      </c>
      <c r="K11" s="40">
        <f t="shared" si="9"/>
        <v>45130.559999999998</v>
      </c>
      <c r="L11" s="40"/>
      <c r="M11" s="41">
        <f>I11/E11</f>
        <v>1.1408817693933904</v>
      </c>
      <c r="N11" s="41">
        <f t="shared" si="1"/>
        <v>1.1377453452025337</v>
      </c>
      <c r="O11" s="48" t="s">
        <v>283</v>
      </c>
      <c r="P11" s="41"/>
      <c r="Q11" s="42">
        <f t="shared" si="5"/>
        <v>1806633.2199999988</v>
      </c>
      <c r="R11" s="42">
        <f t="shared" si="6"/>
        <v>1765818.0599999987</v>
      </c>
      <c r="S11" s="42">
        <f t="shared" si="7"/>
        <v>40815.159999999996</v>
      </c>
      <c r="T11" s="42">
        <f t="shared" si="8"/>
        <v>0</v>
      </c>
      <c r="U11" s="43"/>
    </row>
    <row r="12" spans="1:21" s="50" customFormat="1" ht="54" x14ac:dyDescent="0.3">
      <c r="A12" s="45"/>
      <c r="B12" s="45"/>
      <c r="C12" s="45"/>
      <c r="D12" s="46" t="s">
        <v>222</v>
      </c>
      <c r="E12" s="47">
        <f>F12+G12</f>
        <v>11551749.35</v>
      </c>
      <c r="F12" s="47">
        <v>11547433.949999999</v>
      </c>
      <c r="G12" s="47">
        <v>4315.3999999999996</v>
      </c>
      <c r="H12" s="47"/>
      <c r="I12" s="47">
        <f>J12+K12</f>
        <v>13221360.890000001</v>
      </c>
      <c r="J12" s="47">
        <v>13176230.33</v>
      </c>
      <c r="K12" s="47">
        <f>23152.91+487.65+21490</f>
        <v>45130.559999999998</v>
      </c>
      <c r="L12" s="47"/>
      <c r="M12" s="48">
        <f t="shared" ref="M12:M58" si="10">I12/E12</f>
        <v>1.1445332208493599</v>
      </c>
      <c r="N12" s="48">
        <f t="shared" ref="N12:N58" si="11">J12/F12</f>
        <v>1.1410526691083607</v>
      </c>
      <c r="O12" s="48" t="s">
        <v>283</v>
      </c>
      <c r="P12" s="48"/>
      <c r="Q12" s="49">
        <f t="shared" ref="Q12:Q56" si="12">I12-E12</f>
        <v>1669611.540000001</v>
      </c>
      <c r="R12" s="49">
        <f t="shared" ref="R12:R56" si="13">J12-F12</f>
        <v>1628796.3800000008</v>
      </c>
      <c r="S12" s="49">
        <f t="shared" ref="S12:S56" si="14">K12-G12</f>
        <v>40815.159999999996</v>
      </c>
      <c r="T12" s="49">
        <f t="shared" ref="T12:T56" si="15">L12-H12</f>
        <v>0</v>
      </c>
    </row>
    <row r="13" spans="1:21" s="50" customFormat="1" ht="54" x14ac:dyDescent="0.3">
      <c r="A13" s="45"/>
      <c r="B13" s="45"/>
      <c r="C13" s="45"/>
      <c r="D13" s="46" t="s">
        <v>229</v>
      </c>
      <c r="E13" s="47">
        <f t="shared" ref="E13:E27" si="16">F13+G13</f>
        <v>574653.06999999995</v>
      </c>
      <c r="F13" s="47">
        <v>574653.06999999995</v>
      </c>
      <c r="G13" s="47"/>
      <c r="H13" s="47"/>
      <c r="I13" s="47">
        <f t="shared" ref="I13:I60" si="17">J13+K13</f>
        <v>569817.93999999994</v>
      </c>
      <c r="J13" s="47">
        <v>569817.93999999994</v>
      </c>
      <c r="K13" s="47"/>
      <c r="L13" s="47"/>
      <c r="M13" s="48">
        <f t="shared" ref="M13" si="18">I13/E13</f>
        <v>0.99158600162007315</v>
      </c>
      <c r="N13" s="48">
        <f t="shared" ref="N13" si="19">J13/F13</f>
        <v>0.99158600162007315</v>
      </c>
      <c r="O13" s="48"/>
      <c r="P13" s="48"/>
      <c r="Q13" s="49">
        <f t="shared" si="12"/>
        <v>-4835.1300000000047</v>
      </c>
      <c r="R13" s="49">
        <f t="shared" si="13"/>
        <v>-4835.1300000000047</v>
      </c>
      <c r="S13" s="49">
        <f t="shared" si="14"/>
        <v>0</v>
      </c>
      <c r="T13" s="49">
        <f t="shared" si="15"/>
        <v>0</v>
      </c>
    </row>
    <row r="14" spans="1:21" s="50" customFormat="1" ht="54" x14ac:dyDescent="0.3">
      <c r="A14" s="45"/>
      <c r="B14" s="45"/>
      <c r="C14" s="45"/>
      <c r="D14" s="46" t="s">
        <v>230</v>
      </c>
      <c r="E14" s="47">
        <f t="shared" si="16"/>
        <v>369345.38</v>
      </c>
      <c r="F14" s="47">
        <v>369345.38</v>
      </c>
      <c r="G14" s="47"/>
      <c r="H14" s="47"/>
      <c r="I14" s="47">
        <f t="shared" si="17"/>
        <v>384118.25</v>
      </c>
      <c r="J14" s="47">
        <v>384118.25</v>
      </c>
      <c r="K14" s="47"/>
      <c r="L14" s="47"/>
      <c r="M14" s="48">
        <f t="shared" si="10"/>
        <v>1.0399974408776955</v>
      </c>
      <c r="N14" s="48">
        <f t="shared" si="11"/>
        <v>1.0399974408776955</v>
      </c>
      <c r="O14" s="48"/>
      <c r="P14" s="48"/>
      <c r="Q14" s="49">
        <f t="shared" si="12"/>
        <v>14772.869999999995</v>
      </c>
      <c r="R14" s="49">
        <f t="shared" si="13"/>
        <v>14772.869999999995</v>
      </c>
      <c r="S14" s="49">
        <f t="shared" si="14"/>
        <v>0</v>
      </c>
      <c r="T14" s="49">
        <f t="shared" si="15"/>
        <v>0</v>
      </c>
    </row>
    <row r="15" spans="1:21" s="50" customFormat="1" ht="54" x14ac:dyDescent="0.3">
      <c r="A15" s="45"/>
      <c r="B15" s="45"/>
      <c r="C15" s="45"/>
      <c r="D15" s="46" t="s">
        <v>231</v>
      </c>
      <c r="E15" s="47">
        <f t="shared" si="16"/>
        <v>328006.67</v>
      </c>
      <c r="F15" s="47">
        <v>328006.67</v>
      </c>
      <c r="G15" s="47"/>
      <c r="H15" s="47"/>
      <c r="I15" s="47">
        <f t="shared" si="17"/>
        <v>455090.61</v>
      </c>
      <c r="J15" s="47">
        <v>455090.61</v>
      </c>
      <c r="K15" s="47"/>
      <c r="L15" s="47"/>
      <c r="M15" s="48">
        <f t="shared" si="10"/>
        <v>1.3874431577870048</v>
      </c>
      <c r="N15" s="48">
        <f t="shared" si="11"/>
        <v>1.3874431577870048</v>
      </c>
      <c r="O15" s="48"/>
      <c r="P15" s="48"/>
      <c r="Q15" s="49">
        <f t="shared" si="12"/>
        <v>127083.94</v>
      </c>
      <c r="R15" s="49">
        <f t="shared" si="13"/>
        <v>127083.94</v>
      </c>
      <c r="S15" s="49">
        <f t="shared" si="14"/>
        <v>0</v>
      </c>
      <c r="T15" s="49">
        <f t="shared" si="15"/>
        <v>0</v>
      </c>
    </row>
    <row r="16" spans="1:21" s="51" customFormat="1" ht="54" x14ac:dyDescent="0.3">
      <c r="A16" s="24" t="s">
        <v>118</v>
      </c>
      <c r="B16" s="24" t="s">
        <v>119</v>
      </c>
      <c r="C16" s="24" t="s">
        <v>120</v>
      </c>
      <c r="D16" s="39" t="s">
        <v>121</v>
      </c>
      <c r="E16" s="40">
        <f>F16</f>
        <v>0</v>
      </c>
      <c r="F16" s="40"/>
      <c r="G16" s="40"/>
      <c r="H16" s="40"/>
      <c r="I16" s="40">
        <f t="shared" si="17"/>
        <v>7000</v>
      </c>
      <c r="J16" s="40">
        <v>7000</v>
      </c>
      <c r="K16" s="40"/>
      <c r="L16" s="40"/>
      <c r="M16" s="41"/>
      <c r="N16" s="41"/>
      <c r="O16" s="41"/>
      <c r="P16" s="41"/>
      <c r="Q16" s="42">
        <f t="shared" si="12"/>
        <v>7000</v>
      </c>
      <c r="R16" s="42">
        <f t="shared" si="13"/>
        <v>7000</v>
      </c>
      <c r="S16" s="42">
        <f t="shared" si="14"/>
        <v>0</v>
      </c>
      <c r="T16" s="42">
        <f t="shared" si="15"/>
        <v>0</v>
      </c>
    </row>
    <row r="17" spans="1:21" s="51" customFormat="1" ht="36" x14ac:dyDescent="0.3">
      <c r="A17" s="24" t="s">
        <v>122</v>
      </c>
      <c r="B17" s="24" t="s">
        <v>8</v>
      </c>
      <c r="C17" s="24" t="s">
        <v>6</v>
      </c>
      <c r="D17" s="39" t="s">
        <v>123</v>
      </c>
      <c r="E17" s="40">
        <f t="shared" si="16"/>
        <v>16138.61</v>
      </c>
      <c r="F17" s="40">
        <v>16138.61</v>
      </c>
      <c r="G17" s="40"/>
      <c r="H17" s="40"/>
      <c r="I17" s="40">
        <f t="shared" si="17"/>
        <v>128372.39</v>
      </c>
      <c r="J17" s="40">
        <v>128372.39</v>
      </c>
      <c r="K17" s="40"/>
      <c r="L17" s="40"/>
      <c r="M17" s="41" t="s">
        <v>284</v>
      </c>
      <c r="N17" s="41" t="s">
        <v>284</v>
      </c>
      <c r="O17" s="41"/>
      <c r="P17" s="41"/>
      <c r="Q17" s="42">
        <f t="shared" si="12"/>
        <v>112233.78</v>
      </c>
      <c r="R17" s="42">
        <f t="shared" si="13"/>
        <v>112233.78</v>
      </c>
      <c r="S17" s="42">
        <f t="shared" si="14"/>
        <v>0</v>
      </c>
      <c r="T17" s="42">
        <f t="shared" si="15"/>
        <v>0</v>
      </c>
    </row>
    <row r="18" spans="1:21" s="51" customFormat="1" ht="36" x14ac:dyDescent="0.3">
      <c r="A18" s="24" t="s">
        <v>67</v>
      </c>
      <c r="B18" s="24" t="s">
        <v>28</v>
      </c>
      <c r="C18" s="24" t="s">
        <v>29</v>
      </c>
      <c r="D18" s="52" t="s">
        <v>166</v>
      </c>
      <c r="E18" s="40">
        <f t="shared" si="16"/>
        <v>3237799.34</v>
      </c>
      <c r="F18" s="40">
        <v>3237799.34</v>
      </c>
      <c r="G18" s="40"/>
      <c r="H18" s="40"/>
      <c r="I18" s="40">
        <f t="shared" si="17"/>
        <v>4920431.8600000003</v>
      </c>
      <c r="J18" s="40">
        <v>4920431.8600000003</v>
      </c>
      <c r="K18" s="40"/>
      <c r="L18" s="40"/>
      <c r="M18" s="41">
        <f t="shared" si="10"/>
        <v>1.5196840024064</v>
      </c>
      <c r="N18" s="41">
        <f t="shared" si="11"/>
        <v>1.5196840024064</v>
      </c>
      <c r="O18" s="41"/>
      <c r="P18" s="41"/>
      <c r="Q18" s="42">
        <f t="shared" si="12"/>
        <v>1682632.5200000005</v>
      </c>
      <c r="R18" s="42">
        <f t="shared" si="13"/>
        <v>1682632.5200000005</v>
      </c>
      <c r="S18" s="42">
        <f t="shared" si="14"/>
        <v>0</v>
      </c>
      <c r="T18" s="42">
        <f t="shared" si="15"/>
        <v>0</v>
      </c>
      <c r="U18" s="53"/>
    </row>
    <row r="19" spans="1:21" s="51" customFormat="1" ht="18" x14ac:dyDescent="0.3">
      <c r="A19" s="24" t="s">
        <v>68</v>
      </c>
      <c r="B19" s="24" t="s">
        <v>55</v>
      </c>
      <c r="C19" s="24" t="s">
        <v>30</v>
      </c>
      <c r="D19" s="52" t="s">
        <v>235</v>
      </c>
      <c r="E19" s="40">
        <f t="shared" si="16"/>
        <v>1153407.67</v>
      </c>
      <c r="F19" s="40">
        <v>1153407.67</v>
      </c>
      <c r="G19" s="40"/>
      <c r="H19" s="40"/>
      <c r="I19" s="40">
        <f t="shared" si="17"/>
        <v>1285905.97</v>
      </c>
      <c r="J19" s="40">
        <v>1285905.97</v>
      </c>
      <c r="K19" s="40"/>
      <c r="L19" s="40"/>
      <c r="M19" s="41">
        <f t="shared" si="10"/>
        <v>1.114875514916595</v>
      </c>
      <c r="N19" s="41">
        <f t="shared" si="11"/>
        <v>1.114875514916595</v>
      </c>
      <c r="O19" s="41"/>
      <c r="P19" s="41"/>
      <c r="Q19" s="42">
        <f t="shared" si="12"/>
        <v>132498.30000000005</v>
      </c>
      <c r="R19" s="42">
        <f t="shared" si="13"/>
        <v>132498.30000000005</v>
      </c>
      <c r="S19" s="42">
        <f t="shared" si="14"/>
        <v>0</v>
      </c>
      <c r="T19" s="42">
        <f t="shared" si="15"/>
        <v>0</v>
      </c>
    </row>
    <row r="20" spans="1:21" s="51" customFormat="1" ht="54" x14ac:dyDescent="0.3">
      <c r="A20" s="28" t="s">
        <v>256</v>
      </c>
      <c r="B20" s="28">
        <v>2111</v>
      </c>
      <c r="C20" s="28" t="s">
        <v>257</v>
      </c>
      <c r="D20" s="30" t="s">
        <v>258</v>
      </c>
      <c r="E20" s="40">
        <f t="shared" si="16"/>
        <v>188072.97</v>
      </c>
      <c r="F20" s="40">
        <v>188072.97</v>
      </c>
      <c r="G20" s="40"/>
      <c r="H20" s="40"/>
      <c r="I20" s="40">
        <f t="shared" si="17"/>
        <v>27061.82</v>
      </c>
      <c r="J20" s="40">
        <v>27061.82</v>
      </c>
      <c r="K20" s="40"/>
      <c r="L20" s="40"/>
      <c r="M20" s="41">
        <f t="shared" ref="M20:M23" si="20">I20/E20</f>
        <v>0.14389000184343342</v>
      </c>
      <c r="N20" s="41">
        <f t="shared" ref="N20:N23" si="21">J20/F20</f>
        <v>0.14389000184343342</v>
      </c>
      <c r="O20" s="41"/>
      <c r="P20" s="41"/>
      <c r="Q20" s="42">
        <f t="shared" si="12"/>
        <v>-161011.15</v>
      </c>
      <c r="R20" s="42">
        <f t="shared" si="13"/>
        <v>-161011.15</v>
      </c>
      <c r="S20" s="42">
        <f t="shared" si="14"/>
        <v>0</v>
      </c>
      <c r="T20" s="42">
        <f t="shared" si="15"/>
        <v>0</v>
      </c>
    </row>
    <row r="21" spans="1:21" s="51" customFormat="1" ht="36" x14ac:dyDescent="0.3">
      <c r="A21" s="28" t="s">
        <v>259</v>
      </c>
      <c r="B21" s="28" t="s">
        <v>196</v>
      </c>
      <c r="C21" s="28" t="s">
        <v>131</v>
      </c>
      <c r="D21" s="30" t="s">
        <v>260</v>
      </c>
      <c r="E21" s="40">
        <f t="shared" si="16"/>
        <v>608824.96</v>
      </c>
      <c r="F21" s="40">
        <v>608824.96</v>
      </c>
      <c r="G21" s="40"/>
      <c r="H21" s="40"/>
      <c r="I21" s="40">
        <f t="shared" si="17"/>
        <v>474574.08999999997</v>
      </c>
      <c r="J21" s="40">
        <f>240336.99+234237.1</f>
        <v>474574.08999999997</v>
      </c>
      <c r="K21" s="40"/>
      <c r="L21" s="40"/>
      <c r="M21" s="41">
        <f t="shared" si="20"/>
        <v>0.77949184277858774</v>
      </c>
      <c r="N21" s="41">
        <f t="shared" si="21"/>
        <v>0.77949184277858774</v>
      </c>
      <c r="O21" s="41"/>
      <c r="P21" s="41"/>
      <c r="Q21" s="42">
        <f t="shared" si="12"/>
        <v>-134250.87</v>
      </c>
      <c r="R21" s="42">
        <f t="shared" si="13"/>
        <v>-134250.87</v>
      </c>
      <c r="S21" s="42">
        <f t="shared" si="14"/>
        <v>0</v>
      </c>
      <c r="T21" s="42">
        <f t="shared" si="15"/>
        <v>0</v>
      </c>
    </row>
    <row r="22" spans="1:21" s="54" customFormat="1" ht="47.25" customHeight="1" x14ac:dyDescent="0.3">
      <c r="A22" s="24" t="s">
        <v>171</v>
      </c>
      <c r="B22" s="24" t="s">
        <v>34</v>
      </c>
      <c r="C22" s="24" t="s">
        <v>17</v>
      </c>
      <c r="D22" s="52" t="s">
        <v>44</v>
      </c>
      <c r="E22" s="40">
        <f t="shared" si="16"/>
        <v>2000</v>
      </c>
      <c r="F22" s="40">
        <v>2000</v>
      </c>
      <c r="G22" s="40"/>
      <c r="H22" s="40"/>
      <c r="I22" s="40">
        <f t="shared" si="17"/>
        <v>0</v>
      </c>
      <c r="J22" s="40">
        <v>0</v>
      </c>
      <c r="K22" s="40"/>
      <c r="L22" s="40"/>
      <c r="M22" s="41">
        <f t="shared" si="20"/>
        <v>0</v>
      </c>
      <c r="N22" s="41">
        <f t="shared" si="21"/>
        <v>0</v>
      </c>
      <c r="O22" s="41"/>
      <c r="P22" s="41"/>
      <c r="Q22" s="42">
        <f t="shared" si="12"/>
        <v>-2000</v>
      </c>
      <c r="R22" s="42">
        <f t="shared" si="13"/>
        <v>-2000</v>
      </c>
      <c r="S22" s="42">
        <f t="shared" si="14"/>
        <v>0</v>
      </c>
      <c r="T22" s="42">
        <f t="shared" si="15"/>
        <v>0</v>
      </c>
    </row>
    <row r="23" spans="1:21" s="51" customFormat="1" ht="36" x14ac:dyDescent="0.3">
      <c r="A23" s="24" t="s">
        <v>154</v>
      </c>
      <c r="B23" s="24" t="s">
        <v>152</v>
      </c>
      <c r="C23" s="24" t="s">
        <v>4</v>
      </c>
      <c r="D23" s="39" t="s">
        <v>153</v>
      </c>
      <c r="E23" s="40">
        <f t="shared" si="16"/>
        <v>938000</v>
      </c>
      <c r="F23" s="40">
        <v>938000</v>
      </c>
      <c r="G23" s="40"/>
      <c r="H23" s="40"/>
      <c r="I23" s="40">
        <f t="shared" si="17"/>
        <v>859000</v>
      </c>
      <c r="J23" s="40">
        <v>859000</v>
      </c>
      <c r="K23" s="40"/>
      <c r="L23" s="40"/>
      <c r="M23" s="41">
        <f t="shared" si="20"/>
        <v>0.91577825159914716</v>
      </c>
      <c r="N23" s="41">
        <f t="shared" si="21"/>
        <v>0.91577825159914716</v>
      </c>
      <c r="O23" s="41"/>
      <c r="P23" s="41"/>
      <c r="Q23" s="42">
        <f t="shared" si="12"/>
        <v>-79000</v>
      </c>
      <c r="R23" s="42">
        <f t="shared" si="13"/>
        <v>-79000</v>
      </c>
      <c r="S23" s="42">
        <f t="shared" si="14"/>
        <v>0</v>
      </c>
      <c r="T23" s="42">
        <f t="shared" si="15"/>
        <v>0</v>
      </c>
    </row>
    <row r="24" spans="1:21" s="51" customFormat="1" ht="36" x14ac:dyDescent="0.3">
      <c r="A24" s="24" t="s">
        <v>69</v>
      </c>
      <c r="B24" s="24" t="s">
        <v>40</v>
      </c>
      <c r="C24" s="24" t="s">
        <v>7</v>
      </c>
      <c r="D24" s="39" t="s">
        <v>56</v>
      </c>
      <c r="E24" s="40">
        <f t="shared" si="16"/>
        <v>343467.41</v>
      </c>
      <c r="F24" s="40">
        <f t="shared" ref="F24:L24" si="22">F25+F26+F27</f>
        <v>343467.41</v>
      </c>
      <c r="G24" s="40">
        <f t="shared" si="22"/>
        <v>0</v>
      </c>
      <c r="H24" s="40">
        <f t="shared" si="22"/>
        <v>0</v>
      </c>
      <c r="I24" s="40">
        <f t="shared" si="17"/>
        <v>483263.5</v>
      </c>
      <c r="J24" s="40">
        <f t="shared" si="22"/>
        <v>483263.5</v>
      </c>
      <c r="K24" s="40">
        <f t="shared" si="22"/>
        <v>0</v>
      </c>
      <c r="L24" s="40">
        <f t="shared" si="22"/>
        <v>0</v>
      </c>
      <c r="M24" s="41">
        <f t="shared" si="10"/>
        <v>1.407014132723684</v>
      </c>
      <c r="N24" s="41">
        <f t="shared" si="11"/>
        <v>1.407014132723684</v>
      </c>
      <c r="O24" s="41"/>
      <c r="P24" s="41"/>
      <c r="Q24" s="42">
        <f t="shared" si="12"/>
        <v>139796.09000000003</v>
      </c>
      <c r="R24" s="42">
        <f t="shared" si="13"/>
        <v>139796.09000000003</v>
      </c>
      <c r="S24" s="42">
        <f t="shared" si="14"/>
        <v>0</v>
      </c>
      <c r="T24" s="42">
        <f t="shared" si="15"/>
        <v>0</v>
      </c>
    </row>
    <row r="25" spans="1:21" s="50" customFormat="1" ht="54" x14ac:dyDescent="0.3">
      <c r="A25" s="45"/>
      <c r="B25" s="45"/>
      <c r="C25" s="45"/>
      <c r="D25" s="46" t="s">
        <v>229</v>
      </c>
      <c r="E25" s="47">
        <f t="shared" si="16"/>
        <v>270653.59999999998</v>
      </c>
      <c r="F25" s="47">
        <v>270653.59999999998</v>
      </c>
      <c r="G25" s="47"/>
      <c r="H25" s="47"/>
      <c r="I25" s="47">
        <f t="shared" si="17"/>
        <v>312957.68</v>
      </c>
      <c r="J25" s="47">
        <v>312957.68</v>
      </c>
      <c r="K25" s="47"/>
      <c r="L25" s="47"/>
      <c r="M25" s="48">
        <f t="shared" si="10"/>
        <v>1.156303407750719</v>
      </c>
      <c r="N25" s="48">
        <f t="shared" si="11"/>
        <v>1.156303407750719</v>
      </c>
      <c r="O25" s="48"/>
      <c r="P25" s="48"/>
      <c r="Q25" s="49">
        <f t="shared" si="12"/>
        <v>42304.080000000016</v>
      </c>
      <c r="R25" s="49">
        <f t="shared" si="13"/>
        <v>42304.080000000016</v>
      </c>
      <c r="S25" s="49">
        <f t="shared" si="14"/>
        <v>0</v>
      </c>
      <c r="T25" s="49">
        <f t="shared" si="15"/>
        <v>0</v>
      </c>
    </row>
    <row r="26" spans="1:21" s="50" customFormat="1" ht="54" x14ac:dyDescent="0.3">
      <c r="A26" s="45"/>
      <c r="B26" s="45"/>
      <c r="C26" s="45"/>
      <c r="D26" s="46" t="s">
        <v>230</v>
      </c>
      <c r="E26" s="47">
        <f t="shared" si="16"/>
        <v>20742.71</v>
      </c>
      <c r="F26" s="47">
        <v>20742.71</v>
      </c>
      <c r="G26" s="47"/>
      <c r="H26" s="47"/>
      <c r="I26" s="47">
        <f t="shared" si="17"/>
        <v>77000.800000000003</v>
      </c>
      <c r="J26" s="47">
        <v>77000.800000000003</v>
      </c>
      <c r="K26" s="47"/>
      <c r="L26" s="47"/>
      <c r="M26" s="48">
        <f t="shared" si="10"/>
        <v>3.7121861126149867</v>
      </c>
      <c r="N26" s="48">
        <f t="shared" si="11"/>
        <v>3.7121861126149867</v>
      </c>
      <c r="O26" s="48"/>
      <c r="P26" s="48"/>
      <c r="Q26" s="49">
        <f t="shared" si="12"/>
        <v>56258.090000000004</v>
      </c>
      <c r="R26" s="49">
        <f t="shared" si="13"/>
        <v>56258.090000000004</v>
      </c>
      <c r="S26" s="49">
        <f t="shared" si="14"/>
        <v>0</v>
      </c>
      <c r="T26" s="49">
        <f t="shared" si="15"/>
        <v>0</v>
      </c>
    </row>
    <row r="27" spans="1:21" s="50" customFormat="1" ht="54" x14ac:dyDescent="0.3">
      <c r="A27" s="45"/>
      <c r="B27" s="45"/>
      <c r="C27" s="45"/>
      <c r="D27" s="46" t="s">
        <v>231</v>
      </c>
      <c r="E27" s="47">
        <f t="shared" si="16"/>
        <v>52071.1</v>
      </c>
      <c r="F27" s="47">
        <v>52071.1</v>
      </c>
      <c r="G27" s="47"/>
      <c r="H27" s="47"/>
      <c r="I27" s="47">
        <f t="shared" si="17"/>
        <v>93305.02</v>
      </c>
      <c r="J27" s="47">
        <v>93305.02</v>
      </c>
      <c r="K27" s="47"/>
      <c r="L27" s="47"/>
      <c r="M27" s="48">
        <f t="shared" si="10"/>
        <v>1.7918772601308597</v>
      </c>
      <c r="N27" s="48">
        <f t="shared" si="11"/>
        <v>1.7918772601308597</v>
      </c>
      <c r="O27" s="48"/>
      <c r="P27" s="48"/>
      <c r="Q27" s="49">
        <f t="shared" si="12"/>
        <v>41233.920000000006</v>
      </c>
      <c r="R27" s="49">
        <f t="shared" si="13"/>
        <v>41233.920000000006</v>
      </c>
      <c r="S27" s="49">
        <f t="shared" si="14"/>
        <v>0</v>
      </c>
      <c r="T27" s="49">
        <f t="shared" si="15"/>
        <v>0</v>
      </c>
    </row>
    <row r="28" spans="1:21" s="51" customFormat="1" ht="54" x14ac:dyDescent="0.3">
      <c r="A28" s="29" t="s">
        <v>102</v>
      </c>
      <c r="B28" s="28">
        <v>8110</v>
      </c>
      <c r="C28" s="29" t="s">
        <v>5</v>
      </c>
      <c r="D28" s="30" t="s">
        <v>141</v>
      </c>
      <c r="E28" s="40"/>
      <c r="F28" s="40"/>
      <c r="G28" s="40"/>
      <c r="H28" s="40"/>
      <c r="I28" s="40">
        <f t="shared" si="17"/>
        <v>7500</v>
      </c>
      <c r="J28" s="40">
        <v>7500</v>
      </c>
      <c r="K28" s="40"/>
      <c r="L28" s="40"/>
      <c r="M28" s="41"/>
      <c r="N28" s="41"/>
      <c r="O28" s="41"/>
      <c r="P28" s="41"/>
      <c r="Q28" s="42">
        <f t="shared" si="12"/>
        <v>7500</v>
      </c>
      <c r="R28" s="42">
        <f t="shared" si="13"/>
        <v>7500</v>
      </c>
      <c r="S28" s="42">
        <f t="shared" si="14"/>
        <v>0</v>
      </c>
      <c r="T28" s="42">
        <f t="shared" si="15"/>
        <v>0</v>
      </c>
    </row>
    <row r="29" spans="1:21" s="51" customFormat="1" ht="36" x14ac:dyDescent="0.3">
      <c r="A29" s="24" t="s">
        <v>193</v>
      </c>
      <c r="B29" s="24" t="s">
        <v>194</v>
      </c>
      <c r="C29" s="24" t="s">
        <v>5</v>
      </c>
      <c r="D29" s="52" t="s">
        <v>195</v>
      </c>
      <c r="E29" s="40">
        <f t="shared" ref="E29:E32" si="23">F29+G29</f>
        <v>3088795.24</v>
      </c>
      <c r="F29" s="40">
        <v>3088795.24</v>
      </c>
      <c r="G29" s="40"/>
      <c r="H29" s="40"/>
      <c r="I29" s="40">
        <f t="shared" ref="I29:I32" si="24">J29+K29</f>
        <v>4752942.8600000003</v>
      </c>
      <c r="J29" s="40">
        <v>4752942.8600000003</v>
      </c>
      <c r="K29" s="40"/>
      <c r="L29" s="40"/>
      <c r="M29" s="41">
        <f t="shared" si="10"/>
        <v>1.5387691610143766</v>
      </c>
      <c r="N29" s="41">
        <f t="shared" si="11"/>
        <v>1.5387691610143766</v>
      </c>
      <c r="O29" s="41"/>
      <c r="P29" s="41"/>
      <c r="Q29" s="42">
        <f t="shared" si="12"/>
        <v>1664147.62</v>
      </c>
      <c r="R29" s="42">
        <f t="shared" si="13"/>
        <v>1664147.62</v>
      </c>
      <c r="S29" s="42">
        <f t="shared" si="14"/>
        <v>0</v>
      </c>
      <c r="T29" s="42">
        <f t="shared" si="15"/>
        <v>0</v>
      </c>
    </row>
    <row r="30" spans="1:21" s="51" customFormat="1" ht="36" x14ac:dyDescent="0.3">
      <c r="A30" s="29" t="s">
        <v>275</v>
      </c>
      <c r="B30" s="28">
        <v>8220</v>
      </c>
      <c r="C30" s="28" t="s">
        <v>234</v>
      </c>
      <c r="D30" s="30" t="s">
        <v>276</v>
      </c>
      <c r="E30" s="40"/>
      <c r="F30" s="40"/>
      <c r="G30" s="40"/>
      <c r="H30" s="40"/>
      <c r="I30" s="40">
        <f t="shared" si="24"/>
        <v>9450</v>
      </c>
      <c r="J30" s="40">
        <v>9450</v>
      </c>
      <c r="K30" s="40"/>
      <c r="L30" s="40"/>
      <c r="M30" s="41"/>
      <c r="N30" s="41"/>
      <c r="O30" s="41"/>
      <c r="P30" s="41"/>
      <c r="Q30" s="42">
        <f t="shared" ref="Q30" si="25">I30-E30</f>
        <v>9450</v>
      </c>
      <c r="R30" s="42">
        <f t="shared" ref="R30" si="26">J30-F30</f>
        <v>9450</v>
      </c>
      <c r="S30" s="42"/>
      <c r="T30" s="42"/>
    </row>
    <row r="31" spans="1:21" s="51" customFormat="1" ht="36" x14ac:dyDescent="0.3">
      <c r="A31" s="24" t="s">
        <v>249</v>
      </c>
      <c r="B31" s="24" t="s">
        <v>250</v>
      </c>
      <c r="C31" s="24" t="s">
        <v>234</v>
      </c>
      <c r="D31" s="39" t="s">
        <v>251</v>
      </c>
      <c r="E31" s="40">
        <f t="shared" si="23"/>
        <v>2000637</v>
      </c>
      <c r="F31" s="40">
        <v>2000637</v>
      </c>
      <c r="G31" s="40"/>
      <c r="H31" s="40"/>
      <c r="I31" s="40">
        <f t="shared" si="24"/>
        <v>1032928</v>
      </c>
      <c r="J31" s="40">
        <v>1032928</v>
      </c>
      <c r="K31" s="40"/>
      <c r="L31" s="40"/>
      <c r="M31" s="41">
        <f t="shared" si="10"/>
        <v>0.51629955859058885</v>
      </c>
      <c r="N31" s="41">
        <f t="shared" si="11"/>
        <v>0.51629955859058885</v>
      </c>
      <c r="O31" s="41"/>
      <c r="P31" s="41"/>
      <c r="Q31" s="42">
        <f t="shared" si="12"/>
        <v>-967709</v>
      </c>
      <c r="R31" s="42">
        <f t="shared" si="13"/>
        <v>-967709</v>
      </c>
      <c r="S31" s="42">
        <f t="shared" si="14"/>
        <v>0</v>
      </c>
      <c r="T31" s="42">
        <f t="shared" si="15"/>
        <v>0</v>
      </c>
    </row>
    <row r="32" spans="1:21" s="51" customFormat="1" ht="36" x14ac:dyDescent="0.3">
      <c r="A32" s="29" t="s">
        <v>270</v>
      </c>
      <c r="B32" s="29" t="s">
        <v>269</v>
      </c>
      <c r="C32" s="29" t="s">
        <v>234</v>
      </c>
      <c r="D32" s="31" t="s">
        <v>265</v>
      </c>
      <c r="E32" s="40">
        <f t="shared" si="23"/>
        <v>804860.62</v>
      </c>
      <c r="F32" s="40">
        <v>804860.62</v>
      </c>
      <c r="G32" s="40"/>
      <c r="H32" s="40"/>
      <c r="I32" s="40">
        <f t="shared" si="24"/>
        <v>0</v>
      </c>
      <c r="J32" s="40"/>
      <c r="K32" s="40"/>
      <c r="L32" s="40"/>
      <c r="M32" s="41">
        <f t="shared" si="10"/>
        <v>0</v>
      </c>
      <c r="N32" s="41">
        <f t="shared" si="11"/>
        <v>0</v>
      </c>
      <c r="O32" s="41"/>
      <c r="P32" s="41"/>
      <c r="Q32" s="42">
        <f t="shared" si="12"/>
        <v>-804860.62</v>
      </c>
      <c r="R32" s="42">
        <f t="shared" si="13"/>
        <v>-804860.62</v>
      </c>
      <c r="S32" s="42">
        <f t="shared" si="14"/>
        <v>0</v>
      </c>
      <c r="T32" s="42">
        <f t="shared" si="15"/>
        <v>0</v>
      </c>
    </row>
    <row r="33" spans="1:20" s="55" customFormat="1" ht="52.2" x14ac:dyDescent="0.3">
      <c r="A33" s="27" t="s">
        <v>57</v>
      </c>
      <c r="B33" s="27"/>
      <c r="C33" s="27"/>
      <c r="D33" s="32" t="s">
        <v>295</v>
      </c>
      <c r="E33" s="37">
        <f t="shared" ref="E33:L33" si="27">E34</f>
        <v>93909592.229999989</v>
      </c>
      <c r="F33" s="37">
        <f t="shared" si="27"/>
        <v>92663642.419999987</v>
      </c>
      <c r="G33" s="37">
        <f t="shared" si="27"/>
        <v>1245949.8099999998</v>
      </c>
      <c r="H33" s="37">
        <f t="shared" si="27"/>
        <v>0</v>
      </c>
      <c r="I33" s="37">
        <f t="shared" si="27"/>
        <v>79545792.389999986</v>
      </c>
      <c r="J33" s="37">
        <f t="shared" si="27"/>
        <v>77625003.149999991</v>
      </c>
      <c r="K33" s="37">
        <f t="shared" si="27"/>
        <v>1920789.24</v>
      </c>
      <c r="L33" s="37">
        <f t="shared" si="27"/>
        <v>559361.42000000004</v>
      </c>
      <c r="M33" s="34">
        <f t="shared" si="10"/>
        <v>0.84704651038393708</v>
      </c>
      <c r="N33" s="34">
        <f t="shared" si="11"/>
        <v>0.83770722931614283</v>
      </c>
      <c r="O33" s="34">
        <f t="shared" ref="O33:O34" si="28">K33/G33</f>
        <v>1.541626496174834</v>
      </c>
      <c r="P33" s="34"/>
      <c r="Q33" s="35">
        <f t="shared" si="12"/>
        <v>-14363799.840000004</v>
      </c>
      <c r="R33" s="35">
        <f t="shared" si="13"/>
        <v>-15038639.269999996</v>
      </c>
      <c r="S33" s="35">
        <f t="shared" si="14"/>
        <v>674839.43000000017</v>
      </c>
      <c r="T33" s="35">
        <f t="shared" si="15"/>
        <v>559361.42000000004</v>
      </c>
    </row>
    <row r="34" spans="1:20" s="55" customFormat="1" ht="52.2" x14ac:dyDescent="0.3">
      <c r="A34" s="27" t="s">
        <v>58</v>
      </c>
      <c r="B34" s="27"/>
      <c r="C34" s="27"/>
      <c r="D34" s="32" t="s">
        <v>296</v>
      </c>
      <c r="E34" s="37">
        <f t="shared" ref="E34:E39" si="29">F34+G34</f>
        <v>93909592.229999989</v>
      </c>
      <c r="F34" s="37">
        <f>F35+F36+F37+F38+F39+F40+F41+F42+F43+F44+F45+F46+F47+F48+F50+F51+F52+F53+F54+F49</f>
        <v>92663642.419999987</v>
      </c>
      <c r="G34" s="37">
        <f t="shared" ref="G34:H34" si="30">G35+G36+G37+G38+G39+G40+G41+G42+G43+G44+G45+G46+G47+G48+G50+G51+G52+G53+G54+G49</f>
        <v>1245949.8099999998</v>
      </c>
      <c r="H34" s="37">
        <f t="shared" si="30"/>
        <v>0</v>
      </c>
      <c r="I34" s="37">
        <f t="shared" si="17"/>
        <v>79545792.389999986</v>
      </c>
      <c r="J34" s="37">
        <f>J35+J36+J37+J38+J39+J40+J41+J42+J43+J44+J45+J46+J47+J48+J50+J51+J52+J53+J54+J49</f>
        <v>77625003.149999991</v>
      </c>
      <c r="K34" s="37">
        <f t="shared" ref="K34:L34" si="31">K35+K36+K37+K38+K39+K40+K41+K42+K43+K44+K45+K46+K47+K48+K50+K51+K52+K53+K54+K49</f>
        <v>1920789.24</v>
      </c>
      <c r="L34" s="37">
        <f t="shared" si="31"/>
        <v>559361.42000000004</v>
      </c>
      <c r="M34" s="34">
        <f t="shared" si="10"/>
        <v>0.84704651038393708</v>
      </c>
      <c r="N34" s="34">
        <f t="shared" si="11"/>
        <v>0.83770722931614283</v>
      </c>
      <c r="O34" s="34">
        <f t="shared" si="28"/>
        <v>1.541626496174834</v>
      </c>
      <c r="P34" s="34"/>
      <c r="Q34" s="35">
        <f t="shared" si="12"/>
        <v>-14363799.840000004</v>
      </c>
      <c r="R34" s="35">
        <f t="shared" si="13"/>
        <v>-15038639.269999996</v>
      </c>
      <c r="S34" s="35">
        <f t="shared" si="14"/>
        <v>674839.43000000017</v>
      </c>
      <c r="T34" s="35">
        <f t="shared" si="15"/>
        <v>559361.42000000004</v>
      </c>
    </row>
    <row r="35" spans="1:20" s="51" customFormat="1" ht="63" customHeight="1" x14ac:dyDescent="0.3">
      <c r="A35" s="24" t="s">
        <v>60</v>
      </c>
      <c r="B35" s="24" t="s">
        <v>59</v>
      </c>
      <c r="C35" s="24" t="s">
        <v>3</v>
      </c>
      <c r="D35" s="56" t="s">
        <v>254</v>
      </c>
      <c r="E35" s="40">
        <f t="shared" si="29"/>
        <v>740390.13</v>
      </c>
      <c r="F35" s="40">
        <v>740390.13</v>
      </c>
      <c r="G35" s="40"/>
      <c r="H35" s="40"/>
      <c r="I35" s="40">
        <f>J35+K35</f>
        <v>918336.02</v>
      </c>
      <c r="J35" s="40">
        <v>918336.02</v>
      </c>
      <c r="K35" s="40"/>
      <c r="L35" s="40"/>
      <c r="M35" s="41">
        <f t="shared" si="10"/>
        <v>1.2403407106466966</v>
      </c>
      <c r="N35" s="41">
        <f t="shared" si="11"/>
        <v>1.2403407106466966</v>
      </c>
      <c r="O35" s="41"/>
      <c r="P35" s="41"/>
      <c r="Q35" s="42">
        <f t="shared" si="12"/>
        <v>177945.89</v>
      </c>
      <c r="R35" s="42">
        <f t="shared" si="13"/>
        <v>177945.89</v>
      </c>
      <c r="S35" s="42">
        <f t="shared" si="14"/>
        <v>0</v>
      </c>
      <c r="T35" s="42">
        <f t="shared" si="15"/>
        <v>0</v>
      </c>
    </row>
    <row r="36" spans="1:20" s="51" customFormat="1" ht="36" x14ac:dyDescent="0.3">
      <c r="A36" s="24" t="s">
        <v>246</v>
      </c>
      <c r="B36" s="24" t="s">
        <v>8</v>
      </c>
      <c r="C36" s="24" t="s">
        <v>6</v>
      </c>
      <c r="D36" s="56" t="s">
        <v>123</v>
      </c>
      <c r="E36" s="40">
        <f t="shared" si="29"/>
        <v>0</v>
      </c>
      <c r="F36" s="40"/>
      <c r="G36" s="40"/>
      <c r="H36" s="40"/>
      <c r="I36" s="40">
        <f t="shared" si="17"/>
        <v>81244</v>
      </c>
      <c r="J36" s="40">
        <v>81244</v>
      </c>
      <c r="K36" s="40"/>
      <c r="L36" s="40"/>
      <c r="M36" s="41"/>
      <c r="N36" s="41"/>
      <c r="O36" s="41"/>
      <c r="P36" s="41"/>
      <c r="Q36" s="42">
        <f t="shared" si="12"/>
        <v>81244</v>
      </c>
      <c r="R36" s="42">
        <f t="shared" si="13"/>
        <v>81244</v>
      </c>
      <c r="S36" s="42">
        <f t="shared" si="14"/>
        <v>0</v>
      </c>
      <c r="T36" s="42">
        <f t="shared" si="15"/>
        <v>0</v>
      </c>
    </row>
    <row r="37" spans="1:20" s="51" customFormat="1" ht="18" x14ac:dyDescent="0.3">
      <c r="A37" s="24" t="s">
        <v>61</v>
      </c>
      <c r="B37" s="24" t="s">
        <v>9</v>
      </c>
      <c r="C37" s="24" t="s">
        <v>10</v>
      </c>
      <c r="D37" s="52" t="s">
        <v>62</v>
      </c>
      <c r="E37" s="40">
        <f t="shared" si="29"/>
        <v>28651730.199999999</v>
      </c>
      <c r="F37" s="40">
        <v>27466252.050000001</v>
      </c>
      <c r="G37" s="42">
        <v>1185478.1499999999</v>
      </c>
      <c r="H37" s="42"/>
      <c r="I37" s="40">
        <f t="shared" si="17"/>
        <v>17172720.129999999</v>
      </c>
      <c r="J37" s="40">
        <v>16933307.129999999</v>
      </c>
      <c r="K37" s="40">
        <f>239413</f>
        <v>239413</v>
      </c>
      <c r="L37" s="42"/>
      <c r="M37" s="41">
        <f t="shared" si="10"/>
        <v>0.59936066723118864</v>
      </c>
      <c r="N37" s="41">
        <f t="shared" ref="N37:N38" si="32">J37/F37</f>
        <v>0.61651320679553723</v>
      </c>
      <c r="O37" s="41">
        <f t="shared" ref="O37" si="33">K37/G37</f>
        <v>0.20195479773288105</v>
      </c>
      <c r="P37" s="41"/>
      <c r="Q37" s="42">
        <f t="shared" si="12"/>
        <v>-11479010.07</v>
      </c>
      <c r="R37" s="42">
        <f t="shared" si="13"/>
        <v>-10532944.920000002</v>
      </c>
      <c r="S37" s="42">
        <f t="shared" si="14"/>
        <v>-946065.14999999991</v>
      </c>
      <c r="T37" s="42">
        <f t="shared" si="15"/>
        <v>0</v>
      </c>
    </row>
    <row r="38" spans="1:20" s="51" customFormat="1" ht="60" customHeight="1" x14ac:dyDescent="0.3">
      <c r="A38" s="24" t="s">
        <v>197</v>
      </c>
      <c r="B38" s="24" t="s">
        <v>199</v>
      </c>
      <c r="C38" s="24" t="s">
        <v>12</v>
      </c>
      <c r="D38" s="56" t="s">
        <v>291</v>
      </c>
      <c r="E38" s="40">
        <f t="shared" si="29"/>
        <v>15247853.52</v>
      </c>
      <c r="F38" s="40">
        <v>15198827.859999999</v>
      </c>
      <c r="G38" s="42">
        <v>49025.66</v>
      </c>
      <c r="H38" s="42"/>
      <c r="I38" s="40">
        <f t="shared" si="17"/>
        <v>14697165.779999999</v>
      </c>
      <c r="J38" s="40">
        <v>13404068.539999999</v>
      </c>
      <c r="K38" s="42">
        <f>722066+11669.82+559361.42</f>
        <v>1293097.24</v>
      </c>
      <c r="L38" s="42">
        <v>559361.42000000004</v>
      </c>
      <c r="M38" s="41">
        <f t="shared" si="10"/>
        <v>0.96388424513144189</v>
      </c>
      <c r="N38" s="41">
        <f t="shared" si="32"/>
        <v>0.88191462285566014</v>
      </c>
      <c r="O38" s="41" t="s">
        <v>286</v>
      </c>
      <c r="P38" s="41"/>
      <c r="Q38" s="42">
        <f t="shared" si="12"/>
        <v>-550687.74000000022</v>
      </c>
      <c r="R38" s="42">
        <f t="shared" si="13"/>
        <v>-1794759.3200000003</v>
      </c>
      <c r="S38" s="42">
        <f t="shared" si="14"/>
        <v>1244071.58</v>
      </c>
      <c r="T38" s="42">
        <f t="shared" si="15"/>
        <v>559361.42000000004</v>
      </c>
    </row>
    <row r="39" spans="1:20" s="51" customFormat="1" ht="117.75" customHeight="1" x14ac:dyDescent="0.3">
      <c r="A39" s="24" t="s">
        <v>198</v>
      </c>
      <c r="B39" s="24" t="s">
        <v>200</v>
      </c>
      <c r="C39" s="24" t="s">
        <v>14</v>
      </c>
      <c r="D39" s="56" t="s">
        <v>292</v>
      </c>
      <c r="E39" s="40">
        <f t="shared" si="29"/>
        <v>722846.41</v>
      </c>
      <c r="F39" s="40">
        <v>711978.41</v>
      </c>
      <c r="G39" s="42">
        <v>10868</v>
      </c>
      <c r="H39" s="42"/>
      <c r="I39" s="40">
        <f t="shared" si="17"/>
        <v>1348784.75</v>
      </c>
      <c r="J39" s="40">
        <v>1171890.75</v>
      </c>
      <c r="K39" s="42">
        <f>176894</f>
        <v>176894</v>
      </c>
      <c r="L39" s="42"/>
      <c r="M39" s="41">
        <f t="shared" si="10"/>
        <v>1.8659354620022253</v>
      </c>
      <c r="N39" s="41">
        <f t="shared" si="11"/>
        <v>1.6459638853374781</v>
      </c>
      <c r="O39" s="41" t="s">
        <v>285</v>
      </c>
      <c r="P39" s="41"/>
      <c r="Q39" s="42">
        <f t="shared" si="12"/>
        <v>625938.34</v>
      </c>
      <c r="R39" s="42">
        <f t="shared" si="13"/>
        <v>459912.33999999997</v>
      </c>
      <c r="S39" s="42">
        <f t="shared" si="14"/>
        <v>166026</v>
      </c>
      <c r="T39" s="42">
        <f t="shared" si="15"/>
        <v>0</v>
      </c>
    </row>
    <row r="40" spans="1:20" s="51" customFormat="1" ht="54" x14ac:dyDescent="0.3">
      <c r="A40" s="24" t="s">
        <v>204</v>
      </c>
      <c r="B40" s="24" t="s">
        <v>205</v>
      </c>
      <c r="C40" s="24" t="s">
        <v>12</v>
      </c>
      <c r="D40" s="56" t="s">
        <v>293</v>
      </c>
      <c r="E40" s="40">
        <f t="shared" ref="E40:E41" si="34">F40+G40</f>
        <v>35167570</v>
      </c>
      <c r="F40" s="40">
        <v>35167570</v>
      </c>
      <c r="G40" s="42"/>
      <c r="H40" s="42"/>
      <c r="I40" s="40">
        <f t="shared" si="17"/>
        <v>27524411.359999999</v>
      </c>
      <c r="J40" s="40">
        <v>27524411.359999999</v>
      </c>
      <c r="K40" s="42"/>
      <c r="L40" s="42"/>
      <c r="M40" s="41">
        <f t="shared" ref="M40" si="35">I40/E40</f>
        <v>0.78266457875821382</v>
      </c>
      <c r="N40" s="41">
        <f t="shared" ref="N40" si="36">J40/F40</f>
        <v>0.78266457875821382</v>
      </c>
      <c r="O40" s="41"/>
      <c r="P40" s="41"/>
      <c r="Q40" s="42">
        <f t="shared" si="12"/>
        <v>-7643158.6400000006</v>
      </c>
      <c r="R40" s="42">
        <f t="shared" si="13"/>
        <v>-7643158.6400000006</v>
      </c>
      <c r="S40" s="42">
        <f t="shared" si="14"/>
        <v>0</v>
      </c>
      <c r="T40" s="42">
        <f t="shared" si="15"/>
        <v>0</v>
      </c>
    </row>
    <row r="41" spans="1:20" s="51" customFormat="1" ht="119.25" customHeight="1" x14ac:dyDescent="0.3">
      <c r="A41" s="24" t="s">
        <v>206</v>
      </c>
      <c r="B41" s="24" t="s">
        <v>207</v>
      </c>
      <c r="C41" s="24" t="s">
        <v>14</v>
      </c>
      <c r="D41" s="56" t="s">
        <v>294</v>
      </c>
      <c r="E41" s="40">
        <f t="shared" si="34"/>
        <v>3049230</v>
      </c>
      <c r="F41" s="40">
        <v>3049230</v>
      </c>
      <c r="G41" s="42"/>
      <c r="H41" s="42"/>
      <c r="I41" s="40">
        <f t="shared" si="17"/>
        <v>2231779.3199999998</v>
      </c>
      <c r="J41" s="40">
        <v>2231779.3199999998</v>
      </c>
      <c r="K41" s="42"/>
      <c r="L41" s="42"/>
      <c r="M41" s="41">
        <f t="shared" ref="M41:M42" si="37">I41/E41</f>
        <v>0.73191570330870415</v>
      </c>
      <c r="N41" s="41">
        <f t="shared" ref="N41:N42" si="38">J41/F41</f>
        <v>0.73191570330870415</v>
      </c>
      <c r="O41" s="41"/>
      <c r="P41" s="41"/>
      <c r="Q41" s="42">
        <f t="shared" si="12"/>
        <v>-817450.68000000017</v>
      </c>
      <c r="R41" s="42">
        <f t="shared" si="13"/>
        <v>-817450.68000000017</v>
      </c>
      <c r="S41" s="42">
        <f t="shared" si="14"/>
        <v>0</v>
      </c>
      <c r="T41" s="42">
        <f t="shared" si="15"/>
        <v>0</v>
      </c>
    </row>
    <row r="42" spans="1:20" s="51" customFormat="1" ht="47.25" customHeight="1" x14ac:dyDescent="0.3">
      <c r="A42" s="24" t="s">
        <v>242</v>
      </c>
      <c r="B42" s="24" t="s">
        <v>243</v>
      </c>
      <c r="C42" s="24" t="s">
        <v>12</v>
      </c>
      <c r="D42" s="39" t="s">
        <v>244</v>
      </c>
      <c r="E42" s="40">
        <f>F42+G42</f>
        <v>89392.87</v>
      </c>
      <c r="F42" s="40">
        <v>89392.87</v>
      </c>
      <c r="G42" s="42"/>
      <c r="H42" s="42"/>
      <c r="I42" s="40">
        <f>J42</f>
        <v>0</v>
      </c>
      <c r="J42" s="40"/>
      <c r="K42" s="42"/>
      <c r="L42" s="42"/>
      <c r="M42" s="41">
        <f t="shared" si="37"/>
        <v>0</v>
      </c>
      <c r="N42" s="41">
        <f t="shared" si="38"/>
        <v>0</v>
      </c>
      <c r="O42" s="41"/>
      <c r="P42" s="41"/>
      <c r="Q42" s="42">
        <f t="shared" si="12"/>
        <v>-89392.87</v>
      </c>
      <c r="R42" s="42">
        <f t="shared" si="13"/>
        <v>-89392.87</v>
      </c>
      <c r="S42" s="42">
        <f t="shared" si="14"/>
        <v>0</v>
      </c>
      <c r="T42" s="42">
        <f t="shared" si="15"/>
        <v>0</v>
      </c>
    </row>
    <row r="43" spans="1:20" s="51" customFormat="1" ht="54" x14ac:dyDescent="0.3">
      <c r="A43" s="24" t="s">
        <v>63</v>
      </c>
      <c r="B43" s="24" t="s">
        <v>32</v>
      </c>
      <c r="C43" s="24" t="s">
        <v>15</v>
      </c>
      <c r="D43" s="56" t="s">
        <v>245</v>
      </c>
      <c r="E43" s="40">
        <f t="shared" ref="E43:E54" si="39">F43+G43</f>
        <v>4154605.99</v>
      </c>
      <c r="F43" s="40">
        <v>4154605.99</v>
      </c>
      <c r="G43" s="42"/>
      <c r="H43" s="42"/>
      <c r="I43" s="40">
        <f t="shared" si="17"/>
        <v>4363794.6100000003</v>
      </c>
      <c r="J43" s="40">
        <v>4231993.6100000003</v>
      </c>
      <c r="K43" s="42">
        <f>4296+127505</f>
        <v>131801</v>
      </c>
      <c r="L43" s="42"/>
      <c r="M43" s="41">
        <f t="shared" si="10"/>
        <v>1.0503510129488838</v>
      </c>
      <c r="N43" s="41">
        <f t="shared" si="11"/>
        <v>1.0186269456565242</v>
      </c>
      <c r="O43" s="41"/>
      <c r="P43" s="41"/>
      <c r="Q43" s="42">
        <f t="shared" si="12"/>
        <v>209188.62000000011</v>
      </c>
      <c r="R43" s="42">
        <f t="shared" si="13"/>
        <v>77387.620000000112</v>
      </c>
      <c r="S43" s="42">
        <f t="shared" si="14"/>
        <v>131801</v>
      </c>
      <c r="T43" s="42">
        <f t="shared" si="15"/>
        <v>0</v>
      </c>
    </row>
    <row r="44" spans="1:20" s="51" customFormat="1" ht="36" x14ac:dyDescent="0.3">
      <c r="A44" s="24" t="s">
        <v>208</v>
      </c>
      <c r="B44" s="24" t="s">
        <v>209</v>
      </c>
      <c r="C44" s="24" t="s">
        <v>16</v>
      </c>
      <c r="D44" s="56" t="s">
        <v>210</v>
      </c>
      <c r="E44" s="40">
        <f t="shared" si="39"/>
        <v>799276.86</v>
      </c>
      <c r="F44" s="40">
        <v>798698.86</v>
      </c>
      <c r="G44" s="42">
        <v>578</v>
      </c>
      <c r="H44" s="42"/>
      <c r="I44" s="40">
        <f t="shared" si="17"/>
        <v>0</v>
      </c>
      <c r="J44" s="40"/>
      <c r="K44" s="42"/>
      <c r="L44" s="42"/>
      <c r="M44" s="41">
        <f t="shared" si="10"/>
        <v>0</v>
      </c>
      <c r="N44" s="41">
        <f t="shared" si="11"/>
        <v>0</v>
      </c>
      <c r="O44" s="41"/>
      <c r="P44" s="41"/>
      <c r="Q44" s="42">
        <f t="shared" si="12"/>
        <v>-799276.86</v>
      </c>
      <c r="R44" s="42">
        <f t="shared" si="13"/>
        <v>-798698.86</v>
      </c>
      <c r="S44" s="42">
        <f t="shared" si="14"/>
        <v>-578</v>
      </c>
      <c r="T44" s="42">
        <f t="shared" si="15"/>
        <v>0</v>
      </c>
    </row>
    <row r="45" spans="1:20" s="51" customFormat="1" ht="36" x14ac:dyDescent="0.3">
      <c r="A45" s="24" t="s">
        <v>211</v>
      </c>
      <c r="B45" s="24" t="s">
        <v>212</v>
      </c>
      <c r="C45" s="24" t="s">
        <v>16</v>
      </c>
      <c r="D45" s="56" t="s">
        <v>158</v>
      </c>
      <c r="E45" s="40">
        <f t="shared" si="39"/>
        <v>2503101.9700000002</v>
      </c>
      <c r="F45" s="40">
        <v>2503101.9700000002</v>
      </c>
      <c r="G45" s="42"/>
      <c r="H45" s="42"/>
      <c r="I45" s="40">
        <f t="shared" si="17"/>
        <v>3554333.49</v>
      </c>
      <c r="J45" s="40">
        <v>3474749.49</v>
      </c>
      <c r="K45" s="42">
        <f>79584</f>
        <v>79584</v>
      </c>
      <c r="L45" s="42"/>
      <c r="M45" s="41">
        <f t="shared" si="10"/>
        <v>1.4199715123870882</v>
      </c>
      <c r="N45" s="41">
        <f t="shared" si="11"/>
        <v>1.3881773621871265</v>
      </c>
      <c r="O45" s="41"/>
      <c r="P45" s="41"/>
      <c r="Q45" s="42">
        <f t="shared" si="12"/>
        <v>1051231.52</v>
      </c>
      <c r="R45" s="42">
        <f t="shared" si="13"/>
        <v>971647.52</v>
      </c>
      <c r="S45" s="42">
        <f t="shared" si="14"/>
        <v>79584</v>
      </c>
      <c r="T45" s="42">
        <f t="shared" si="15"/>
        <v>0</v>
      </c>
    </row>
    <row r="46" spans="1:20" s="51" customFormat="1" ht="18" x14ac:dyDescent="0.3">
      <c r="A46" s="24" t="s">
        <v>213</v>
      </c>
      <c r="B46" s="24" t="s">
        <v>214</v>
      </c>
      <c r="C46" s="24" t="s">
        <v>16</v>
      </c>
      <c r="D46" s="56" t="s">
        <v>159</v>
      </c>
      <c r="E46" s="40">
        <f t="shared" si="39"/>
        <v>1810</v>
      </c>
      <c r="F46" s="40">
        <v>1810</v>
      </c>
      <c r="G46" s="42"/>
      <c r="H46" s="42"/>
      <c r="I46" s="40">
        <f t="shared" si="17"/>
        <v>0</v>
      </c>
      <c r="J46" s="40"/>
      <c r="K46" s="42"/>
      <c r="L46" s="42"/>
      <c r="M46" s="41">
        <f t="shared" si="10"/>
        <v>0</v>
      </c>
      <c r="N46" s="41">
        <f t="shared" si="11"/>
        <v>0</v>
      </c>
      <c r="O46" s="41"/>
      <c r="P46" s="41"/>
      <c r="Q46" s="42">
        <f t="shared" si="12"/>
        <v>-1810</v>
      </c>
      <c r="R46" s="42">
        <f t="shared" si="13"/>
        <v>-1810</v>
      </c>
      <c r="S46" s="42">
        <f t="shared" si="14"/>
        <v>0</v>
      </c>
      <c r="T46" s="42">
        <f t="shared" si="15"/>
        <v>0</v>
      </c>
    </row>
    <row r="47" spans="1:20" s="51" customFormat="1" ht="54" x14ac:dyDescent="0.3">
      <c r="A47" s="24" t="s">
        <v>215</v>
      </c>
      <c r="B47" s="24" t="s">
        <v>216</v>
      </c>
      <c r="C47" s="24" t="s">
        <v>16</v>
      </c>
      <c r="D47" s="56" t="s">
        <v>217</v>
      </c>
      <c r="E47" s="40">
        <f t="shared" si="39"/>
        <v>51028.66</v>
      </c>
      <c r="F47" s="40">
        <v>51028.66</v>
      </c>
      <c r="G47" s="42"/>
      <c r="H47" s="42"/>
      <c r="I47" s="40">
        <f t="shared" si="17"/>
        <v>220487.83</v>
      </c>
      <c r="J47" s="40">
        <v>220487.83</v>
      </c>
      <c r="K47" s="42"/>
      <c r="L47" s="42"/>
      <c r="M47" s="41" t="s">
        <v>297</v>
      </c>
      <c r="N47" s="41" t="s">
        <v>297</v>
      </c>
      <c r="O47" s="41"/>
      <c r="P47" s="41"/>
      <c r="Q47" s="42">
        <f t="shared" si="12"/>
        <v>169459.16999999998</v>
      </c>
      <c r="R47" s="42">
        <f t="shared" si="13"/>
        <v>169459.16999999998</v>
      </c>
      <c r="S47" s="42">
        <f t="shared" si="14"/>
        <v>0</v>
      </c>
      <c r="T47" s="42">
        <f t="shared" si="15"/>
        <v>0</v>
      </c>
    </row>
    <row r="48" spans="1:20" s="51" customFormat="1" ht="54" x14ac:dyDescent="0.3">
      <c r="A48" s="24" t="s">
        <v>218</v>
      </c>
      <c r="B48" s="24" t="s">
        <v>219</v>
      </c>
      <c r="C48" s="24" t="s">
        <v>16</v>
      </c>
      <c r="D48" s="56" t="s">
        <v>220</v>
      </c>
      <c r="E48" s="40">
        <f t="shared" si="39"/>
        <v>456000</v>
      </c>
      <c r="F48" s="40">
        <v>456000</v>
      </c>
      <c r="G48" s="42"/>
      <c r="H48" s="42"/>
      <c r="I48" s="40">
        <f t="shared" si="17"/>
        <v>322368.77</v>
      </c>
      <c r="J48" s="40">
        <v>322368.77</v>
      </c>
      <c r="K48" s="42"/>
      <c r="L48" s="42"/>
      <c r="M48" s="41">
        <f t="shared" ref="M48" si="40">I48/E48</f>
        <v>0.70694905701754385</v>
      </c>
      <c r="N48" s="41">
        <f t="shared" ref="N48" si="41">J48/F48</f>
        <v>0.70694905701754385</v>
      </c>
      <c r="O48" s="41"/>
      <c r="P48" s="41"/>
      <c r="Q48" s="42">
        <f t="shared" si="12"/>
        <v>-133631.22999999998</v>
      </c>
      <c r="R48" s="42">
        <f t="shared" si="13"/>
        <v>-133631.22999999998</v>
      </c>
      <c r="S48" s="42">
        <f t="shared" si="14"/>
        <v>0</v>
      </c>
      <c r="T48" s="42">
        <f t="shared" si="15"/>
        <v>0</v>
      </c>
    </row>
    <row r="49" spans="1:20" s="51" customFormat="1" ht="54" x14ac:dyDescent="0.3">
      <c r="A49" s="29" t="s">
        <v>277</v>
      </c>
      <c r="B49" s="29">
        <v>1160</v>
      </c>
      <c r="C49" s="28" t="s">
        <v>16</v>
      </c>
      <c r="D49" s="30" t="s">
        <v>278</v>
      </c>
      <c r="E49" s="40">
        <f t="shared" si="39"/>
        <v>0</v>
      </c>
      <c r="F49" s="40"/>
      <c r="G49" s="42"/>
      <c r="H49" s="42"/>
      <c r="I49" s="40">
        <f t="shared" si="17"/>
        <v>778739.24</v>
      </c>
      <c r="J49" s="40">
        <v>778739.24</v>
      </c>
      <c r="K49" s="42"/>
      <c r="L49" s="42"/>
      <c r="M49" s="41"/>
      <c r="N49" s="41"/>
      <c r="O49" s="41"/>
      <c r="P49" s="41"/>
      <c r="Q49" s="42">
        <f t="shared" ref="Q49" si="42">I49-E49</f>
        <v>778739.24</v>
      </c>
      <c r="R49" s="42">
        <f t="shared" ref="R49" si="43">J49-F49</f>
        <v>778739.24</v>
      </c>
      <c r="S49" s="42"/>
      <c r="T49" s="42"/>
    </row>
    <row r="50" spans="1:20" s="51" customFormat="1" ht="72" x14ac:dyDescent="0.3">
      <c r="A50" s="24" t="s">
        <v>236</v>
      </c>
      <c r="B50" s="24" t="s">
        <v>237</v>
      </c>
      <c r="C50" s="24" t="s">
        <v>16</v>
      </c>
      <c r="D50" s="39" t="s">
        <v>238</v>
      </c>
      <c r="E50" s="40">
        <f t="shared" si="39"/>
        <v>0</v>
      </c>
      <c r="F50" s="40"/>
      <c r="G50" s="40"/>
      <c r="H50" s="40"/>
      <c r="I50" s="40">
        <f t="shared" si="17"/>
        <v>80169.789999999994</v>
      </c>
      <c r="J50" s="40">
        <v>80169.789999999994</v>
      </c>
      <c r="K50" s="40"/>
      <c r="L50" s="40"/>
      <c r="M50" s="41"/>
      <c r="N50" s="41"/>
      <c r="O50" s="41"/>
      <c r="P50" s="41"/>
      <c r="Q50" s="42">
        <f t="shared" si="12"/>
        <v>80169.789999999994</v>
      </c>
      <c r="R50" s="42">
        <f t="shared" si="13"/>
        <v>80169.789999999994</v>
      </c>
      <c r="S50" s="42">
        <f t="shared" si="14"/>
        <v>0</v>
      </c>
      <c r="T50" s="42">
        <f t="shared" si="15"/>
        <v>0</v>
      </c>
    </row>
    <row r="51" spans="1:20" s="51" customFormat="1" ht="90" x14ac:dyDescent="0.3">
      <c r="A51" s="24" t="s">
        <v>239</v>
      </c>
      <c r="B51" s="24" t="s">
        <v>240</v>
      </c>
      <c r="C51" s="24" t="s">
        <v>16</v>
      </c>
      <c r="D51" s="56" t="s">
        <v>241</v>
      </c>
      <c r="E51" s="40">
        <f>F51+G51</f>
        <v>117311.33</v>
      </c>
      <c r="F51" s="40">
        <v>117311.33</v>
      </c>
      <c r="G51" s="42"/>
      <c r="H51" s="42"/>
      <c r="I51" s="40">
        <f>J51+K51</f>
        <v>0</v>
      </c>
      <c r="J51" s="40"/>
      <c r="K51" s="42"/>
      <c r="L51" s="42"/>
      <c r="M51" s="41">
        <f t="shared" si="10"/>
        <v>0</v>
      </c>
      <c r="N51" s="41">
        <f t="shared" si="11"/>
        <v>0</v>
      </c>
      <c r="O51" s="41"/>
      <c r="P51" s="41"/>
      <c r="Q51" s="42">
        <f t="shared" si="12"/>
        <v>-117311.33</v>
      </c>
      <c r="R51" s="42">
        <f t="shared" si="13"/>
        <v>-117311.33</v>
      </c>
      <c r="S51" s="42">
        <f t="shared" si="14"/>
        <v>0</v>
      </c>
      <c r="T51" s="42">
        <f t="shared" si="15"/>
        <v>0</v>
      </c>
    </row>
    <row r="52" spans="1:20" s="51" customFormat="1" ht="36" x14ac:dyDescent="0.3">
      <c r="A52" s="24" t="s">
        <v>155</v>
      </c>
      <c r="B52" s="24" t="s">
        <v>152</v>
      </c>
      <c r="C52" s="24" t="s">
        <v>4</v>
      </c>
      <c r="D52" s="56" t="s">
        <v>153</v>
      </c>
      <c r="E52" s="40">
        <f t="shared" si="39"/>
        <v>294079.75</v>
      </c>
      <c r="F52" s="40">
        <v>294079.75</v>
      </c>
      <c r="G52" s="40"/>
      <c r="H52" s="40"/>
      <c r="I52" s="40">
        <f t="shared" si="17"/>
        <v>3553140.17</v>
      </c>
      <c r="J52" s="40">
        <v>3553140.17</v>
      </c>
      <c r="K52" s="40"/>
      <c r="L52" s="40"/>
      <c r="M52" s="41" t="s">
        <v>287</v>
      </c>
      <c r="N52" s="41" t="s">
        <v>287</v>
      </c>
      <c r="O52" s="41"/>
      <c r="P52" s="41"/>
      <c r="Q52" s="42">
        <f t="shared" si="12"/>
        <v>3259060.42</v>
      </c>
      <c r="R52" s="42">
        <f t="shared" si="13"/>
        <v>3259060.42</v>
      </c>
      <c r="S52" s="42">
        <f t="shared" si="14"/>
        <v>0</v>
      </c>
      <c r="T52" s="42">
        <f t="shared" si="15"/>
        <v>0</v>
      </c>
    </row>
    <row r="53" spans="1:20" s="51" customFormat="1" ht="54" x14ac:dyDescent="0.3">
      <c r="A53" s="24" t="s">
        <v>70</v>
      </c>
      <c r="B53" s="24" t="s">
        <v>48</v>
      </c>
      <c r="C53" s="24" t="s">
        <v>18</v>
      </c>
      <c r="D53" s="52" t="s">
        <v>19</v>
      </c>
      <c r="E53" s="40">
        <f t="shared" si="39"/>
        <v>1863364.54</v>
      </c>
      <c r="F53" s="40">
        <v>1863364.54</v>
      </c>
      <c r="G53" s="42"/>
      <c r="H53" s="42"/>
      <c r="I53" s="40">
        <f t="shared" si="17"/>
        <v>1776919.17</v>
      </c>
      <c r="J53" s="40">
        <v>1776919.17</v>
      </c>
      <c r="K53" s="42"/>
      <c r="L53" s="42"/>
      <c r="M53" s="41">
        <f t="shared" ref="M53" si="44">I53/E53</f>
        <v>0.95360791292078573</v>
      </c>
      <c r="N53" s="41">
        <f t="shared" ref="N53" si="45">J53/F53</f>
        <v>0.95360791292078573</v>
      </c>
      <c r="O53" s="41"/>
      <c r="P53" s="41"/>
      <c r="Q53" s="42">
        <f t="shared" si="12"/>
        <v>-86445.370000000112</v>
      </c>
      <c r="R53" s="42">
        <f t="shared" si="13"/>
        <v>-86445.370000000112</v>
      </c>
      <c r="S53" s="42">
        <f t="shared" si="14"/>
        <v>0</v>
      </c>
      <c r="T53" s="42">
        <f t="shared" si="15"/>
        <v>0</v>
      </c>
    </row>
    <row r="54" spans="1:20" s="51" customFormat="1" ht="54" x14ac:dyDescent="0.3">
      <c r="A54" s="29" t="s">
        <v>261</v>
      </c>
      <c r="B54" s="28">
        <v>8110</v>
      </c>
      <c r="C54" s="29" t="s">
        <v>5</v>
      </c>
      <c r="D54" s="30" t="s">
        <v>141</v>
      </c>
      <c r="E54" s="40">
        <f t="shared" si="39"/>
        <v>0</v>
      </c>
      <c r="F54" s="40"/>
      <c r="G54" s="42"/>
      <c r="H54" s="42"/>
      <c r="I54" s="40">
        <f t="shared" si="17"/>
        <v>921397.96</v>
      </c>
      <c r="J54" s="40">
        <v>921397.96</v>
      </c>
      <c r="K54" s="42"/>
      <c r="L54" s="42"/>
      <c r="M54" s="34"/>
      <c r="N54" s="34"/>
      <c r="O54" s="41"/>
      <c r="P54" s="41"/>
      <c r="Q54" s="42">
        <f t="shared" si="12"/>
        <v>921397.96</v>
      </c>
      <c r="R54" s="42">
        <f t="shared" si="13"/>
        <v>921397.96</v>
      </c>
      <c r="S54" s="42">
        <f t="shared" si="14"/>
        <v>0</v>
      </c>
      <c r="T54" s="42">
        <f t="shared" si="15"/>
        <v>0</v>
      </c>
    </row>
    <row r="55" spans="1:20" s="55" customFormat="1" ht="52.2" x14ac:dyDescent="0.3">
      <c r="A55" s="27" t="s">
        <v>71</v>
      </c>
      <c r="B55" s="27"/>
      <c r="C55" s="27"/>
      <c r="D55" s="32" t="s">
        <v>223</v>
      </c>
      <c r="E55" s="37">
        <f t="shared" ref="E55:L55" si="46">E56</f>
        <v>14551936.449999999</v>
      </c>
      <c r="F55" s="37">
        <f t="shared" si="46"/>
        <v>14551936.449999999</v>
      </c>
      <c r="G55" s="37">
        <f t="shared" si="46"/>
        <v>0</v>
      </c>
      <c r="H55" s="37">
        <f t="shared" si="46"/>
        <v>0</v>
      </c>
      <c r="I55" s="37">
        <f t="shared" si="46"/>
        <v>18450978.91</v>
      </c>
      <c r="J55" s="37">
        <f t="shared" si="46"/>
        <v>15898258.060000001</v>
      </c>
      <c r="K55" s="37">
        <f t="shared" si="46"/>
        <v>2552720.85</v>
      </c>
      <c r="L55" s="37">
        <f t="shared" si="46"/>
        <v>0</v>
      </c>
      <c r="M55" s="34">
        <f t="shared" si="10"/>
        <v>1.2679397668754939</v>
      </c>
      <c r="N55" s="34">
        <f t="shared" si="11"/>
        <v>1.0925183816343564</v>
      </c>
      <c r="O55" s="34"/>
      <c r="P55" s="34"/>
      <c r="Q55" s="35">
        <f t="shared" si="12"/>
        <v>3899042.4600000009</v>
      </c>
      <c r="R55" s="35">
        <f t="shared" si="13"/>
        <v>1346321.6100000013</v>
      </c>
      <c r="S55" s="35">
        <f t="shared" si="14"/>
        <v>2552720.85</v>
      </c>
      <c r="T55" s="35">
        <f t="shared" si="15"/>
        <v>0</v>
      </c>
    </row>
    <row r="56" spans="1:20" s="55" customFormat="1" ht="52.2" x14ac:dyDescent="0.3">
      <c r="A56" s="27" t="s">
        <v>72</v>
      </c>
      <c r="B56" s="27"/>
      <c r="C56" s="27"/>
      <c r="D56" s="32" t="s">
        <v>223</v>
      </c>
      <c r="E56" s="37">
        <f t="shared" ref="E56:E65" si="47">F56+G56</f>
        <v>14551936.449999999</v>
      </c>
      <c r="F56" s="37">
        <f>F57+F58+F59+F60+F62+F63+F64+F65+F66+F67+F68+F70+F61+F69</f>
        <v>14551936.449999999</v>
      </c>
      <c r="G56" s="37">
        <f t="shared" ref="G56:H56" si="48">G57+G58+G59+G60+G62+G63+G64+G65+G66+G67+G68+G70+G61+G69</f>
        <v>0</v>
      </c>
      <c r="H56" s="37">
        <f t="shared" si="48"/>
        <v>0</v>
      </c>
      <c r="I56" s="37">
        <f t="shared" ref="I56" si="49">J56+K56</f>
        <v>18450978.91</v>
      </c>
      <c r="J56" s="37">
        <f>J57+J58+J59+J60+J62+J63+J64+J65+J66+J67+J68+J70+J61+J69</f>
        <v>15898258.060000001</v>
      </c>
      <c r="K56" s="37">
        <f t="shared" ref="K56:L56" si="50">K57+K58+K59+K60+K62+K63+K64+K65+K66+K67+K68+K70+K61+K69</f>
        <v>2552720.85</v>
      </c>
      <c r="L56" s="37">
        <f t="shared" si="50"/>
        <v>0</v>
      </c>
      <c r="M56" s="34">
        <f t="shared" si="10"/>
        <v>1.2679397668754939</v>
      </c>
      <c r="N56" s="34">
        <f t="shared" si="11"/>
        <v>1.0925183816343564</v>
      </c>
      <c r="O56" s="34"/>
      <c r="P56" s="34"/>
      <c r="Q56" s="35">
        <f t="shared" si="12"/>
        <v>3899042.4600000009</v>
      </c>
      <c r="R56" s="35">
        <f t="shared" si="13"/>
        <v>1346321.6100000013</v>
      </c>
      <c r="S56" s="35">
        <f t="shared" si="14"/>
        <v>2552720.85</v>
      </c>
      <c r="T56" s="35">
        <f t="shared" si="15"/>
        <v>0</v>
      </c>
    </row>
    <row r="57" spans="1:20" s="51" customFormat="1" ht="54" x14ac:dyDescent="0.3">
      <c r="A57" s="24" t="s">
        <v>73</v>
      </c>
      <c r="B57" s="24" t="s">
        <v>59</v>
      </c>
      <c r="C57" s="24" t="s">
        <v>3</v>
      </c>
      <c r="D57" s="39" t="s">
        <v>254</v>
      </c>
      <c r="E57" s="40">
        <f t="shared" si="47"/>
        <v>3421303.96</v>
      </c>
      <c r="F57" s="40">
        <v>3421303.96</v>
      </c>
      <c r="G57" s="40"/>
      <c r="H57" s="40"/>
      <c r="I57" s="40">
        <f t="shared" si="17"/>
        <v>3027345.03</v>
      </c>
      <c r="J57" s="40">
        <v>3027345.03</v>
      </c>
      <c r="K57" s="40"/>
      <c r="L57" s="40"/>
      <c r="M57" s="41">
        <f t="shared" si="10"/>
        <v>0.88485123373837848</v>
      </c>
      <c r="N57" s="41">
        <f t="shared" si="11"/>
        <v>0.88485123373837848</v>
      </c>
      <c r="O57" s="41"/>
      <c r="P57" s="41"/>
      <c r="Q57" s="42">
        <f t="shared" ref="Q57:Q98" si="51">I57-E57</f>
        <v>-393958.93000000017</v>
      </c>
      <c r="R57" s="42">
        <f t="shared" ref="R57:R98" si="52">J57-F57</f>
        <v>-393958.93000000017</v>
      </c>
      <c r="S57" s="42">
        <f t="shared" ref="S57:S98" si="53">K57-G57</f>
        <v>0</v>
      </c>
      <c r="T57" s="42">
        <f t="shared" ref="T57:T98" si="54">L57-H57</f>
        <v>0</v>
      </c>
    </row>
    <row r="58" spans="1:20" s="44" customFormat="1" ht="36" x14ac:dyDescent="0.3">
      <c r="A58" s="24" t="s">
        <v>170</v>
      </c>
      <c r="B58" s="24" t="s">
        <v>8</v>
      </c>
      <c r="C58" s="24" t="s">
        <v>6</v>
      </c>
      <c r="D58" s="57" t="s">
        <v>110</v>
      </c>
      <c r="E58" s="40">
        <f t="shared" si="47"/>
        <v>6936.6</v>
      </c>
      <c r="F58" s="40">
        <v>6936.6</v>
      </c>
      <c r="G58" s="40"/>
      <c r="H58" s="40"/>
      <c r="I58" s="40">
        <f t="shared" si="17"/>
        <v>1488.6</v>
      </c>
      <c r="J58" s="40">
        <v>1488.6</v>
      </c>
      <c r="K58" s="40"/>
      <c r="L58" s="40"/>
      <c r="M58" s="41">
        <f t="shared" si="10"/>
        <v>0.21460081307845338</v>
      </c>
      <c r="N58" s="41">
        <f t="shared" si="11"/>
        <v>0.21460081307845338</v>
      </c>
      <c r="O58" s="41"/>
      <c r="P58" s="41"/>
      <c r="Q58" s="42">
        <f t="shared" si="51"/>
        <v>-5448</v>
      </c>
      <c r="R58" s="42">
        <f t="shared" si="52"/>
        <v>-5448</v>
      </c>
      <c r="S58" s="42">
        <f t="shared" si="53"/>
        <v>0</v>
      </c>
      <c r="T58" s="42">
        <f t="shared" si="54"/>
        <v>0</v>
      </c>
    </row>
    <row r="59" spans="1:20" s="58" customFormat="1" ht="36" x14ac:dyDescent="0.3">
      <c r="A59" s="24" t="s">
        <v>115</v>
      </c>
      <c r="B59" s="24" t="s">
        <v>31</v>
      </c>
      <c r="C59" s="24" t="s">
        <v>13</v>
      </c>
      <c r="D59" s="52" t="s">
        <v>114</v>
      </c>
      <c r="E59" s="40">
        <f t="shared" si="47"/>
        <v>8845.66</v>
      </c>
      <c r="F59" s="40">
        <v>8845.66</v>
      </c>
      <c r="G59" s="40"/>
      <c r="H59" s="40"/>
      <c r="I59" s="40">
        <f t="shared" si="17"/>
        <v>24293.68</v>
      </c>
      <c r="J59" s="40">
        <v>24293.68</v>
      </c>
      <c r="K59" s="40"/>
      <c r="L59" s="40"/>
      <c r="M59" s="41">
        <f t="shared" ref="M59:M96" si="55">I59/E59</f>
        <v>2.7463954074653558</v>
      </c>
      <c r="N59" s="41">
        <f t="shared" ref="N59:O96" si="56">J59/F59</f>
        <v>2.7463954074653558</v>
      </c>
      <c r="O59" s="41"/>
      <c r="P59" s="41"/>
      <c r="Q59" s="42">
        <f t="shared" si="51"/>
        <v>15448.02</v>
      </c>
      <c r="R59" s="42">
        <f t="shared" si="52"/>
        <v>15448.02</v>
      </c>
      <c r="S59" s="42">
        <f t="shared" si="53"/>
        <v>0</v>
      </c>
      <c r="T59" s="42">
        <f t="shared" si="54"/>
        <v>0</v>
      </c>
    </row>
    <row r="60" spans="1:20" s="58" customFormat="1" ht="36" x14ac:dyDescent="0.3">
      <c r="A60" s="24" t="s">
        <v>116</v>
      </c>
      <c r="B60" s="24" t="s">
        <v>117</v>
      </c>
      <c r="C60" s="24" t="s">
        <v>32</v>
      </c>
      <c r="D60" s="52" t="s">
        <v>33</v>
      </c>
      <c r="E60" s="40">
        <f t="shared" si="47"/>
        <v>0</v>
      </c>
      <c r="F60" s="40"/>
      <c r="G60" s="40"/>
      <c r="H60" s="40"/>
      <c r="I60" s="40">
        <f t="shared" si="17"/>
        <v>1257.75</v>
      </c>
      <c r="J60" s="40">
        <v>1257.75</v>
      </c>
      <c r="K60" s="40"/>
      <c r="L60" s="40"/>
      <c r="M60" s="41"/>
      <c r="N60" s="41"/>
      <c r="O60" s="41"/>
      <c r="P60" s="41"/>
      <c r="Q60" s="42">
        <f t="shared" si="51"/>
        <v>1257.75</v>
      </c>
      <c r="R60" s="42">
        <f t="shared" si="52"/>
        <v>1257.75</v>
      </c>
      <c r="S60" s="42">
        <f t="shared" si="53"/>
        <v>0</v>
      </c>
      <c r="T60" s="42">
        <f t="shared" si="54"/>
        <v>0</v>
      </c>
    </row>
    <row r="61" spans="1:20" s="44" customFormat="1" ht="54" x14ac:dyDescent="0.3">
      <c r="A61" s="24" t="s">
        <v>178</v>
      </c>
      <c r="B61" s="24" t="s">
        <v>176</v>
      </c>
      <c r="C61" s="24" t="s">
        <v>32</v>
      </c>
      <c r="D61" s="59" t="s">
        <v>177</v>
      </c>
      <c r="E61" s="40">
        <f t="shared" si="47"/>
        <v>0</v>
      </c>
      <c r="F61" s="40"/>
      <c r="G61" s="40"/>
      <c r="H61" s="40"/>
      <c r="I61" s="40">
        <f t="shared" ref="I61:I106" si="57">J61+K61</f>
        <v>41881.699999999997</v>
      </c>
      <c r="J61" s="40">
        <v>41881.699999999997</v>
      </c>
      <c r="K61" s="40"/>
      <c r="L61" s="40"/>
      <c r="M61" s="41"/>
      <c r="N61" s="41"/>
      <c r="O61" s="41"/>
      <c r="P61" s="41"/>
      <c r="Q61" s="42">
        <f t="shared" si="51"/>
        <v>41881.699999999997</v>
      </c>
      <c r="R61" s="42">
        <f t="shared" si="52"/>
        <v>41881.699999999997</v>
      </c>
      <c r="S61" s="42">
        <f t="shared" si="53"/>
        <v>0</v>
      </c>
      <c r="T61" s="42">
        <f t="shared" si="54"/>
        <v>0</v>
      </c>
    </row>
    <row r="62" spans="1:20" s="51" customFormat="1" ht="36" x14ac:dyDescent="0.3">
      <c r="A62" s="24" t="s">
        <v>179</v>
      </c>
      <c r="B62" s="24" t="s">
        <v>180</v>
      </c>
      <c r="C62" s="24" t="s">
        <v>13</v>
      </c>
      <c r="D62" s="52" t="s">
        <v>181</v>
      </c>
      <c r="E62" s="40">
        <f t="shared" si="47"/>
        <v>42015</v>
      </c>
      <c r="F62" s="42">
        <v>42015</v>
      </c>
      <c r="G62" s="42"/>
      <c r="H62" s="42"/>
      <c r="I62" s="40">
        <f t="shared" si="57"/>
        <v>24948</v>
      </c>
      <c r="J62" s="42">
        <v>24948</v>
      </c>
      <c r="K62" s="42"/>
      <c r="L62" s="42"/>
      <c r="M62" s="41">
        <f t="shared" ref="M62" si="58">I62/E62</f>
        <v>0.59378793288111387</v>
      </c>
      <c r="N62" s="41">
        <f t="shared" ref="N62" si="59">J62/F62</f>
        <v>0.59378793288111387</v>
      </c>
      <c r="O62" s="41"/>
      <c r="P62" s="41"/>
      <c r="Q62" s="42">
        <f t="shared" si="51"/>
        <v>-17067</v>
      </c>
      <c r="R62" s="42">
        <f t="shared" si="52"/>
        <v>-17067</v>
      </c>
      <c r="S62" s="42">
        <f t="shared" si="53"/>
        <v>0</v>
      </c>
      <c r="T62" s="42">
        <f t="shared" si="54"/>
        <v>0</v>
      </c>
    </row>
    <row r="63" spans="1:20" s="44" customFormat="1" ht="72" x14ac:dyDescent="0.3">
      <c r="A63" s="24" t="s">
        <v>125</v>
      </c>
      <c r="B63" s="24" t="s">
        <v>124</v>
      </c>
      <c r="C63" s="24" t="s">
        <v>11</v>
      </c>
      <c r="D63" s="52" t="s">
        <v>142</v>
      </c>
      <c r="E63" s="40">
        <f t="shared" si="47"/>
        <v>2831046.11</v>
      </c>
      <c r="F63" s="40">
        <v>2831046.11</v>
      </c>
      <c r="G63" s="40"/>
      <c r="H63" s="40"/>
      <c r="I63" s="40">
        <f t="shared" si="57"/>
        <v>3822490</v>
      </c>
      <c r="J63" s="40">
        <v>3822490</v>
      </c>
      <c r="K63" s="40"/>
      <c r="L63" s="40"/>
      <c r="M63" s="41">
        <f t="shared" si="55"/>
        <v>1.3502040770363857</v>
      </c>
      <c r="N63" s="41">
        <f t="shared" si="56"/>
        <v>1.3502040770363857</v>
      </c>
      <c r="O63" s="41"/>
      <c r="P63" s="41"/>
      <c r="Q63" s="42">
        <f t="shared" si="51"/>
        <v>991443.89000000013</v>
      </c>
      <c r="R63" s="42">
        <f t="shared" si="52"/>
        <v>991443.89000000013</v>
      </c>
      <c r="S63" s="42">
        <f t="shared" si="53"/>
        <v>0</v>
      </c>
      <c r="T63" s="42">
        <f t="shared" si="54"/>
        <v>0</v>
      </c>
    </row>
    <row r="64" spans="1:20" s="58" customFormat="1" ht="54" x14ac:dyDescent="0.3">
      <c r="A64" s="24" t="s">
        <v>75</v>
      </c>
      <c r="B64" s="24" t="s">
        <v>74</v>
      </c>
      <c r="C64" s="24" t="s">
        <v>17</v>
      </c>
      <c r="D64" s="52" t="s">
        <v>76</v>
      </c>
      <c r="E64" s="40">
        <f t="shared" si="47"/>
        <v>1351623.2</v>
      </c>
      <c r="F64" s="40">
        <v>1351623.2</v>
      </c>
      <c r="G64" s="40"/>
      <c r="H64" s="40"/>
      <c r="I64" s="40">
        <f t="shared" si="57"/>
        <v>1374554.75</v>
      </c>
      <c r="J64" s="40">
        <v>1374554.75</v>
      </c>
      <c r="K64" s="40"/>
      <c r="L64" s="40"/>
      <c r="M64" s="41">
        <f t="shared" si="55"/>
        <v>1.0169659339969896</v>
      </c>
      <c r="N64" s="41">
        <f t="shared" si="56"/>
        <v>1.0169659339969896</v>
      </c>
      <c r="O64" s="41"/>
      <c r="P64" s="41"/>
      <c r="Q64" s="42">
        <f t="shared" si="51"/>
        <v>22931.550000000047</v>
      </c>
      <c r="R64" s="42">
        <f t="shared" si="52"/>
        <v>22931.550000000047</v>
      </c>
      <c r="S64" s="42">
        <f t="shared" si="53"/>
        <v>0</v>
      </c>
      <c r="T64" s="42">
        <f t="shared" si="54"/>
        <v>0</v>
      </c>
    </row>
    <row r="65" spans="1:20" s="44" customFormat="1" ht="126" x14ac:dyDescent="0.3">
      <c r="A65" s="24" t="s">
        <v>143</v>
      </c>
      <c r="B65" s="24" t="s">
        <v>144</v>
      </c>
      <c r="C65" s="24" t="s">
        <v>9</v>
      </c>
      <c r="D65" s="52" t="s">
        <v>145</v>
      </c>
      <c r="E65" s="40">
        <f t="shared" si="47"/>
        <v>234730.94</v>
      </c>
      <c r="F65" s="40">
        <v>234730.94</v>
      </c>
      <c r="G65" s="40"/>
      <c r="H65" s="40"/>
      <c r="I65" s="40">
        <f t="shared" si="57"/>
        <v>551688.91</v>
      </c>
      <c r="J65" s="40">
        <v>551688.91</v>
      </c>
      <c r="K65" s="40"/>
      <c r="L65" s="40"/>
      <c r="M65" s="41">
        <f t="shared" si="55"/>
        <v>2.3503033302725242</v>
      </c>
      <c r="N65" s="41">
        <f t="shared" si="56"/>
        <v>2.3503033302725242</v>
      </c>
      <c r="O65" s="41"/>
      <c r="P65" s="41"/>
      <c r="Q65" s="42">
        <f t="shared" si="51"/>
        <v>316957.97000000003</v>
      </c>
      <c r="R65" s="42">
        <f t="shared" si="52"/>
        <v>316957.97000000003</v>
      </c>
      <c r="S65" s="42">
        <f t="shared" si="53"/>
        <v>0</v>
      </c>
      <c r="T65" s="42">
        <f t="shared" si="54"/>
        <v>0</v>
      </c>
    </row>
    <row r="66" spans="1:20" s="44" customFormat="1" ht="72" x14ac:dyDescent="0.3">
      <c r="A66" s="24" t="s">
        <v>182</v>
      </c>
      <c r="B66" s="24" t="s">
        <v>183</v>
      </c>
      <c r="C66" s="24" t="s">
        <v>9</v>
      </c>
      <c r="D66" s="52" t="s">
        <v>184</v>
      </c>
      <c r="E66" s="40">
        <f t="shared" ref="E66:E70" si="60">F66+G66</f>
        <v>0</v>
      </c>
      <c r="F66" s="40"/>
      <c r="G66" s="40"/>
      <c r="H66" s="40"/>
      <c r="I66" s="40">
        <f t="shared" si="57"/>
        <v>12341.62</v>
      </c>
      <c r="J66" s="40">
        <v>12341.62</v>
      </c>
      <c r="K66" s="40"/>
      <c r="L66" s="40"/>
      <c r="M66" s="41"/>
      <c r="N66" s="41"/>
      <c r="O66" s="41"/>
      <c r="P66" s="41"/>
      <c r="Q66" s="42">
        <f t="shared" si="51"/>
        <v>12341.62</v>
      </c>
      <c r="R66" s="42">
        <f t="shared" si="52"/>
        <v>12341.62</v>
      </c>
      <c r="S66" s="42">
        <f t="shared" si="53"/>
        <v>0</v>
      </c>
      <c r="T66" s="42">
        <f t="shared" si="54"/>
        <v>0</v>
      </c>
    </row>
    <row r="67" spans="1:20" s="44" customFormat="1" ht="108" x14ac:dyDescent="0.3">
      <c r="A67" s="24" t="s">
        <v>146</v>
      </c>
      <c r="B67" s="24" t="s">
        <v>147</v>
      </c>
      <c r="C67" s="24" t="s">
        <v>27</v>
      </c>
      <c r="D67" s="52" t="s">
        <v>148</v>
      </c>
      <c r="E67" s="40">
        <f t="shared" si="60"/>
        <v>321327.71999999997</v>
      </c>
      <c r="F67" s="40">
        <v>321327.71999999997</v>
      </c>
      <c r="G67" s="40"/>
      <c r="H67" s="40"/>
      <c r="I67" s="40">
        <f t="shared" si="57"/>
        <v>297583.71000000002</v>
      </c>
      <c r="J67" s="40">
        <v>297583.71000000002</v>
      </c>
      <c r="K67" s="40"/>
      <c r="L67" s="40"/>
      <c r="M67" s="41">
        <f t="shared" ref="M67" si="61">I67/E67</f>
        <v>0.92610656186151652</v>
      </c>
      <c r="N67" s="41">
        <f t="shared" ref="N67" si="62">J67/F67</f>
        <v>0.92610656186151652</v>
      </c>
      <c r="O67" s="41"/>
      <c r="P67" s="41"/>
      <c r="Q67" s="42">
        <f t="shared" si="51"/>
        <v>-23744.009999999951</v>
      </c>
      <c r="R67" s="42">
        <f t="shared" si="52"/>
        <v>-23744.009999999951</v>
      </c>
      <c r="S67" s="42">
        <f t="shared" si="53"/>
        <v>0</v>
      </c>
      <c r="T67" s="42">
        <f t="shared" si="54"/>
        <v>0</v>
      </c>
    </row>
    <row r="68" spans="1:20" s="44" customFormat="1" ht="72" x14ac:dyDescent="0.3">
      <c r="A68" s="24" t="s">
        <v>149</v>
      </c>
      <c r="B68" s="24" t="s">
        <v>150</v>
      </c>
      <c r="C68" s="24" t="s">
        <v>13</v>
      </c>
      <c r="D68" s="52" t="s">
        <v>151</v>
      </c>
      <c r="E68" s="40">
        <f t="shared" si="60"/>
        <v>7234.59</v>
      </c>
      <c r="F68" s="40">
        <v>7234.59</v>
      </c>
      <c r="G68" s="40"/>
      <c r="H68" s="40"/>
      <c r="I68" s="40">
        <f t="shared" si="57"/>
        <v>11360.2</v>
      </c>
      <c r="J68" s="40">
        <v>11360.2</v>
      </c>
      <c r="K68" s="40"/>
      <c r="L68" s="40"/>
      <c r="M68" s="41">
        <f t="shared" si="55"/>
        <v>1.5702617563676726</v>
      </c>
      <c r="N68" s="41">
        <f t="shared" si="56"/>
        <v>1.5702617563676726</v>
      </c>
      <c r="O68" s="41"/>
      <c r="P68" s="41"/>
      <c r="Q68" s="42">
        <f t="shared" si="51"/>
        <v>4125.6100000000006</v>
      </c>
      <c r="R68" s="42">
        <f t="shared" si="52"/>
        <v>4125.6100000000006</v>
      </c>
      <c r="S68" s="42">
        <f t="shared" si="53"/>
        <v>0</v>
      </c>
      <c r="T68" s="42">
        <f t="shared" si="54"/>
        <v>0</v>
      </c>
    </row>
    <row r="69" spans="1:20" s="44" customFormat="1" ht="72" x14ac:dyDescent="0.3">
      <c r="A69" s="29" t="s">
        <v>262</v>
      </c>
      <c r="B69" s="28">
        <v>3230</v>
      </c>
      <c r="C69" s="28">
        <v>1070</v>
      </c>
      <c r="D69" s="30" t="s">
        <v>263</v>
      </c>
      <c r="E69" s="40">
        <f t="shared" si="60"/>
        <v>0</v>
      </c>
      <c r="F69" s="40"/>
      <c r="G69" s="40"/>
      <c r="H69" s="40"/>
      <c r="I69" s="40">
        <f t="shared" si="57"/>
        <v>1193021.7</v>
      </c>
      <c r="J69" s="40">
        <v>71832.22</v>
      </c>
      <c r="K69" s="40">
        <f>1121189.48</f>
        <v>1121189.48</v>
      </c>
      <c r="L69" s="40"/>
      <c r="M69" s="41"/>
      <c r="N69" s="41"/>
      <c r="O69" s="41"/>
      <c r="P69" s="41"/>
      <c r="Q69" s="42">
        <f t="shared" si="51"/>
        <v>1193021.7</v>
      </c>
      <c r="R69" s="42">
        <f t="shared" si="52"/>
        <v>71832.22</v>
      </c>
      <c r="S69" s="42">
        <f t="shared" si="53"/>
        <v>1121189.48</v>
      </c>
      <c r="T69" s="42">
        <f t="shared" si="54"/>
        <v>0</v>
      </c>
    </row>
    <row r="70" spans="1:20" s="44" customFormat="1" ht="36" x14ac:dyDescent="0.3">
      <c r="A70" s="24" t="s">
        <v>156</v>
      </c>
      <c r="B70" s="24" t="s">
        <v>152</v>
      </c>
      <c r="C70" s="24" t="s">
        <v>4</v>
      </c>
      <c r="D70" s="52" t="s">
        <v>153</v>
      </c>
      <c r="E70" s="40">
        <f t="shared" si="60"/>
        <v>6326872.6699999999</v>
      </c>
      <c r="F70" s="40">
        <v>6326872.6699999999</v>
      </c>
      <c r="G70" s="40"/>
      <c r="H70" s="40"/>
      <c r="I70" s="40">
        <f t="shared" si="57"/>
        <v>8066723.2599999998</v>
      </c>
      <c r="J70" s="40">
        <f>6613309.89+21882</f>
        <v>6635191.8899999997</v>
      </c>
      <c r="K70" s="40">
        <v>1431531.37</v>
      </c>
      <c r="L70" s="40"/>
      <c r="M70" s="41">
        <f t="shared" si="55"/>
        <v>1.2749937735035846</v>
      </c>
      <c r="N70" s="41">
        <f t="shared" si="56"/>
        <v>1.0487316935366742</v>
      </c>
      <c r="O70" s="41"/>
      <c r="P70" s="41"/>
      <c r="Q70" s="42">
        <f t="shared" si="51"/>
        <v>1739850.5899999999</v>
      </c>
      <c r="R70" s="42">
        <f t="shared" si="52"/>
        <v>308319.21999999974</v>
      </c>
      <c r="S70" s="42">
        <f t="shared" si="53"/>
        <v>1431531.37</v>
      </c>
      <c r="T70" s="42">
        <f t="shared" si="54"/>
        <v>0</v>
      </c>
    </row>
    <row r="71" spans="1:20" s="36" customFormat="1" ht="52.2" x14ac:dyDescent="0.3">
      <c r="A71" s="27" t="s">
        <v>77</v>
      </c>
      <c r="B71" s="27"/>
      <c r="C71" s="27"/>
      <c r="D71" s="32" t="s">
        <v>224</v>
      </c>
      <c r="E71" s="37">
        <f t="shared" ref="E71:L71" si="63">E72</f>
        <v>10469658.369999999</v>
      </c>
      <c r="F71" s="37">
        <f t="shared" si="63"/>
        <v>10373898.889999999</v>
      </c>
      <c r="G71" s="37">
        <f t="shared" si="63"/>
        <v>95759.48</v>
      </c>
      <c r="H71" s="37">
        <f t="shared" si="63"/>
        <v>0</v>
      </c>
      <c r="I71" s="37">
        <f t="shared" si="63"/>
        <v>11020096.07</v>
      </c>
      <c r="J71" s="37">
        <f t="shared" si="63"/>
        <v>10702299.08</v>
      </c>
      <c r="K71" s="37">
        <f t="shared" si="63"/>
        <v>317796.99</v>
      </c>
      <c r="L71" s="37">
        <f t="shared" si="63"/>
        <v>49480</v>
      </c>
      <c r="M71" s="34">
        <f t="shared" si="55"/>
        <v>1.0525745617046338</v>
      </c>
      <c r="N71" s="34">
        <f t="shared" si="56"/>
        <v>1.0316563900884521</v>
      </c>
      <c r="O71" s="34">
        <f t="shared" ref="O71:O72" si="64">K71/G71</f>
        <v>3.3187000388891001</v>
      </c>
      <c r="P71" s="34"/>
      <c r="Q71" s="35">
        <f t="shared" si="51"/>
        <v>550437.70000000112</v>
      </c>
      <c r="R71" s="35">
        <f t="shared" si="52"/>
        <v>328400.19000000134</v>
      </c>
      <c r="S71" s="35">
        <f t="shared" si="53"/>
        <v>222037.51</v>
      </c>
      <c r="T71" s="35">
        <f t="shared" si="54"/>
        <v>49480</v>
      </c>
    </row>
    <row r="72" spans="1:20" s="38" customFormat="1" ht="52.2" x14ac:dyDescent="0.3">
      <c r="A72" s="27" t="s">
        <v>78</v>
      </c>
      <c r="B72" s="27"/>
      <c r="C72" s="27"/>
      <c r="D72" s="32" t="s">
        <v>224</v>
      </c>
      <c r="E72" s="37">
        <f t="shared" ref="E72:E79" si="65">F72+G72</f>
        <v>10469658.369999999</v>
      </c>
      <c r="F72" s="37">
        <f>F73+F74+F75+F76+F77+F78+F79</f>
        <v>10373898.889999999</v>
      </c>
      <c r="G72" s="37">
        <f t="shared" ref="G72:H72" si="66">G73+G74+G75+G76+G77+G78+G79</f>
        <v>95759.48</v>
      </c>
      <c r="H72" s="37">
        <f t="shared" si="66"/>
        <v>0</v>
      </c>
      <c r="I72" s="37">
        <f t="shared" si="57"/>
        <v>11020096.07</v>
      </c>
      <c r="J72" s="37">
        <f>J73+J74+J75+J76+J77+J78+J79</f>
        <v>10702299.08</v>
      </c>
      <c r="K72" s="37">
        <f t="shared" ref="K72:L72" si="67">K73+K74+K75+K76+K77+K78+K79</f>
        <v>317796.99</v>
      </c>
      <c r="L72" s="37">
        <f t="shared" si="67"/>
        <v>49480</v>
      </c>
      <c r="M72" s="34">
        <f t="shared" si="55"/>
        <v>1.0525745617046338</v>
      </c>
      <c r="N72" s="34">
        <f t="shared" si="56"/>
        <v>1.0316563900884521</v>
      </c>
      <c r="O72" s="34">
        <f t="shared" si="64"/>
        <v>3.3187000388891001</v>
      </c>
      <c r="P72" s="34"/>
      <c r="Q72" s="35">
        <f t="shared" si="51"/>
        <v>550437.70000000112</v>
      </c>
      <c r="R72" s="35">
        <f t="shared" si="52"/>
        <v>328400.19000000134</v>
      </c>
      <c r="S72" s="35">
        <f t="shared" si="53"/>
        <v>222037.51</v>
      </c>
      <c r="T72" s="35">
        <f t="shared" si="54"/>
        <v>49480</v>
      </c>
    </row>
    <row r="73" spans="1:20" s="44" customFormat="1" ht="54" x14ac:dyDescent="0.3">
      <c r="A73" s="24" t="s">
        <v>79</v>
      </c>
      <c r="B73" s="24" t="s">
        <v>59</v>
      </c>
      <c r="C73" s="24" t="s">
        <v>3</v>
      </c>
      <c r="D73" s="39" t="s">
        <v>254</v>
      </c>
      <c r="E73" s="40">
        <f t="shared" si="65"/>
        <v>181445.83</v>
      </c>
      <c r="F73" s="40">
        <v>181445.83</v>
      </c>
      <c r="G73" s="40"/>
      <c r="H73" s="40"/>
      <c r="I73" s="40">
        <f t="shared" si="57"/>
        <v>198468.12</v>
      </c>
      <c r="J73" s="40">
        <v>198468.12</v>
      </c>
      <c r="K73" s="40"/>
      <c r="L73" s="40"/>
      <c r="M73" s="41">
        <f t="shared" si="55"/>
        <v>1.0938147214515759</v>
      </c>
      <c r="N73" s="41">
        <f t="shared" si="56"/>
        <v>1.0938147214515759</v>
      </c>
      <c r="O73" s="41"/>
      <c r="P73" s="41"/>
      <c r="Q73" s="42">
        <f t="shared" si="51"/>
        <v>17022.290000000008</v>
      </c>
      <c r="R73" s="42">
        <f t="shared" si="52"/>
        <v>17022.290000000008</v>
      </c>
      <c r="S73" s="42">
        <f t="shared" si="53"/>
        <v>0</v>
      </c>
      <c r="T73" s="42">
        <f t="shared" si="54"/>
        <v>0</v>
      </c>
    </row>
    <row r="74" spans="1:20" s="44" customFormat="1" ht="36" x14ac:dyDescent="0.3">
      <c r="A74" s="24" t="s">
        <v>202</v>
      </c>
      <c r="B74" s="24" t="s">
        <v>203</v>
      </c>
      <c r="C74" s="24" t="s">
        <v>15</v>
      </c>
      <c r="D74" s="60" t="s">
        <v>201</v>
      </c>
      <c r="E74" s="40">
        <f t="shared" si="65"/>
        <v>5222972.3999999994</v>
      </c>
      <c r="F74" s="40">
        <v>5163876.63</v>
      </c>
      <c r="G74" s="42">
        <v>59095.77</v>
      </c>
      <c r="H74" s="42"/>
      <c r="I74" s="40">
        <f t="shared" si="57"/>
        <v>5103193.38</v>
      </c>
      <c r="J74" s="40">
        <v>5044875.6399999997</v>
      </c>
      <c r="K74" s="42">
        <v>58317.74</v>
      </c>
      <c r="L74" s="42"/>
      <c r="M74" s="41">
        <f t="shared" ref="M74" si="68">I74/E74</f>
        <v>0.97706688628107641</v>
      </c>
      <c r="N74" s="41">
        <f t="shared" ref="N74" si="69">J74/F74</f>
        <v>0.97695510591623091</v>
      </c>
      <c r="O74" s="41"/>
      <c r="P74" s="41"/>
      <c r="Q74" s="42">
        <f t="shared" si="51"/>
        <v>-119779.01999999955</v>
      </c>
      <c r="R74" s="42">
        <f t="shared" si="52"/>
        <v>-119000.99000000022</v>
      </c>
      <c r="S74" s="42">
        <f t="shared" si="53"/>
        <v>-778.02999999999884</v>
      </c>
      <c r="T74" s="42">
        <f t="shared" si="54"/>
        <v>0</v>
      </c>
    </row>
    <row r="75" spans="1:20" s="44" customFormat="1" ht="18" x14ac:dyDescent="0.3">
      <c r="A75" s="24" t="s">
        <v>81</v>
      </c>
      <c r="B75" s="24" t="s">
        <v>80</v>
      </c>
      <c r="C75" s="24" t="s">
        <v>36</v>
      </c>
      <c r="D75" s="52" t="s">
        <v>82</v>
      </c>
      <c r="E75" s="40">
        <f t="shared" si="65"/>
        <v>1700458.72</v>
      </c>
      <c r="F75" s="40">
        <v>1686924.72</v>
      </c>
      <c r="G75" s="42">
        <v>13534</v>
      </c>
      <c r="H75" s="42"/>
      <c r="I75" s="40">
        <f t="shared" si="57"/>
        <v>1794484.75</v>
      </c>
      <c r="J75" s="40">
        <v>1739148.75</v>
      </c>
      <c r="K75" s="42">
        <f>5856+49480</f>
        <v>55336</v>
      </c>
      <c r="L75" s="42">
        <v>49480</v>
      </c>
      <c r="M75" s="41">
        <f t="shared" si="55"/>
        <v>1.0552945090016652</v>
      </c>
      <c r="N75" s="41">
        <f t="shared" si="56"/>
        <v>1.0309581271652715</v>
      </c>
      <c r="O75" s="41">
        <f t="shared" si="56"/>
        <v>4.0886655829762084</v>
      </c>
      <c r="P75" s="41"/>
      <c r="Q75" s="42">
        <f t="shared" si="51"/>
        <v>94026.030000000028</v>
      </c>
      <c r="R75" s="42">
        <f t="shared" si="52"/>
        <v>52224.030000000028</v>
      </c>
      <c r="S75" s="42">
        <f t="shared" si="53"/>
        <v>41802</v>
      </c>
      <c r="T75" s="42">
        <f t="shared" si="54"/>
        <v>49480</v>
      </c>
    </row>
    <row r="76" spans="1:20" s="44" customFormat="1" ht="18" x14ac:dyDescent="0.3">
      <c r="A76" s="24" t="s">
        <v>84</v>
      </c>
      <c r="B76" s="24" t="s">
        <v>83</v>
      </c>
      <c r="C76" s="24" t="s">
        <v>36</v>
      </c>
      <c r="D76" s="52" t="s">
        <v>85</v>
      </c>
      <c r="E76" s="40">
        <f t="shared" si="65"/>
        <v>571076.01</v>
      </c>
      <c r="F76" s="40">
        <v>568291.80000000005</v>
      </c>
      <c r="G76" s="42">
        <v>2784.21</v>
      </c>
      <c r="H76" s="42"/>
      <c r="I76" s="40">
        <f t="shared" si="57"/>
        <v>767329.74</v>
      </c>
      <c r="J76" s="40">
        <v>729318.74</v>
      </c>
      <c r="K76" s="42">
        <f>770+37241</f>
        <v>38011</v>
      </c>
      <c r="L76" s="42"/>
      <c r="M76" s="41">
        <f t="shared" si="55"/>
        <v>1.3436560572733567</v>
      </c>
      <c r="N76" s="41">
        <f t="shared" si="56"/>
        <v>1.2833525664104251</v>
      </c>
      <c r="O76" s="41" t="s">
        <v>288</v>
      </c>
      <c r="P76" s="41"/>
      <c r="Q76" s="42">
        <f t="shared" si="51"/>
        <v>196253.72999999998</v>
      </c>
      <c r="R76" s="42">
        <f t="shared" si="52"/>
        <v>161026.93999999994</v>
      </c>
      <c r="S76" s="42">
        <f t="shared" si="53"/>
        <v>35226.79</v>
      </c>
      <c r="T76" s="42">
        <f t="shared" si="54"/>
        <v>0</v>
      </c>
    </row>
    <row r="77" spans="1:20" s="44" customFormat="1" ht="54" x14ac:dyDescent="0.3">
      <c r="A77" s="24" t="s">
        <v>86</v>
      </c>
      <c r="B77" s="24" t="s">
        <v>35</v>
      </c>
      <c r="C77" s="24" t="s">
        <v>37</v>
      </c>
      <c r="D77" s="52" t="s">
        <v>87</v>
      </c>
      <c r="E77" s="40">
        <f t="shared" si="65"/>
        <v>2310110.9900000002</v>
      </c>
      <c r="F77" s="40">
        <v>2289765.4900000002</v>
      </c>
      <c r="G77" s="42">
        <v>20345.5</v>
      </c>
      <c r="H77" s="42"/>
      <c r="I77" s="40">
        <f t="shared" si="57"/>
        <v>2631552.4500000002</v>
      </c>
      <c r="J77" s="40">
        <v>2465420.2000000002</v>
      </c>
      <c r="K77" s="42">
        <f>41148+124984.25</f>
        <v>166132.25</v>
      </c>
      <c r="L77" s="42"/>
      <c r="M77" s="41">
        <f t="shared" si="55"/>
        <v>1.139145461578017</v>
      </c>
      <c r="N77" s="41">
        <f t="shared" si="56"/>
        <v>1.0767129694141735</v>
      </c>
      <c r="O77" s="41" t="s">
        <v>284</v>
      </c>
      <c r="P77" s="41"/>
      <c r="Q77" s="42">
        <f t="shared" si="51"/>
        <v>321441.45999999996</v>
      </c>
      <c r="R77" s="42">
        <f t="shared" si="52"/>
        <v>175654.70999999996</v>
      </c>
      <c r="S77" s="42">
        <f t="shared" si="53"/>
        <v>145786.75</v>
      </c>
      <c r="T77" s="42">
        <f t="shared" si="54"/>
        <v>0</v>
      </c>
    </row>
    <row r="78" spans="1:20" s="44" customFormat="1" ht="36" x14ac:dyDescent="0.3">
      <c r="A78" s="24" t="s">
        <v>157</v>
      </c>
      <c r="B78" s="24" t="s">
        <v>135</v>
      </c>
      <c r="C78" s="24" t="s">
        <v>38</v>
      </c>
      <c r="D78" s="52" t="s">
        <v>136</v>
      </c>
      <c r="E78" s="40">
        <f t="shared" si="65"/>
        <v>478680.42</v>
      </c>
      <c r="F78" s="40">
        <v>478680.42</v>
      </c>
      <c r="G78" s="42"/>
      <c r="H78" s="42"/>
      <c r="I78" s="40">
        <f t="shared" si="57"/>
        <v>507264.63</v>
      </c>
      <c r="J78" s="40">
        <v>507264.63</v>
      </c>
      <c r="K78" s="42"/>
      <c r="L78" s="42"/>
      <c r="M78" s="41">
        <f t="shared" si="55"/>
        <v>1.0597146004008269</v>
      </c>
      <c r="N78" s="41">
        <f t="shared" si="56"/>
        <v>1.0597146004008269</v>
      </c>
      <c r="O78" s="41"/>
      <c r="P78" s="41"/>
      <c r="Q78" s="42">
        <f t="shared" si="51"/>
        <v>28584.210000000021</v>
      </c>
      <c r="R78" s="42">
        <f t="shared" si="52"/>
        <v>28584.210000000021</v>
      </c>
      <c r="S78" s="42">
        <f t="shared" si="53"/>
        <v>0</v>
      </c>
      <c r="T78" s="42">
        <f t="shared" si="54"/>
        <v>0</v>
      </c>
    </row>
    <row r="79" spans="1:20" s="44" customFormat="1" ht="18" x14ac:dyDescent="0.3">
      <c r="A79" s="24" t="s">
        <v>133</v>
      </c>
      <c r="B79" s="24" t="s">
        <v>134</v>
      </c>
      <c r="C79" s="24" t="s">
        <v>38</v>
      </c>
      <c r="D79" s="52" t="s">
        <v>137</v>
      </c>
      <c r="E79" s="40">
        <f t="shared" si="65"/>
        <v>4914</v>
      </c>
      <c r="F79" s="40">
        <v>4914</v>
      </c>
      <c r="G79" s="42"/>
      <c r="H79" s="42"/>
      <c r="I79" s="40">
        <f t="shared" si="57"/>
        <v>17803</v>
      </c>
      <c r="J79" s="40">
        <v>17803</v>
      </c>
      <c r="K79" s="42"/>
      <c r="L79" s="42"/>
      <c r="M79" s="41">
        <f t="shared" si="55"/>
        <v>3.6229141229141231</v>
      </c>
      <c r="N79" s="41">
        <f t="shared" si="56"/>
        <v>3.6229141229141231</v>
      </c>
      <c r="O79" s="41"/>
      <c r="P79" s="41"/>
      <c r="Q79" s="42">
        <f t="shared" si="51"/>
        <v>12889</v>
      </c>
      <c r="R79" s="42">
        <f t="shared" si="52"/>
        <v>12889</v>
      </c>
      <c r="S79" s="42">
        <f t="shared" si="53"/>
        <v>0</v>
      </c>
      <c r="T79" s="42">
        <f t="shared" si="54"/>
        <v>0</v>
      </c>
    </row>
    <row r="80" spans="1:20" s="38" customFormat="1" ht="52.2" x14ac:dyDescent="0.3">
      <c r="A80" s="27" t="s">
        <v>21</v>
      </c>
      <c r="B80" s="27"/>
      <c r="C80" s="27"/>
      <c r="D80" s="32" t="s">
        <v>298</v>
      </c>
      <c r="E80" s="37">
        <f t="shared" ref="E80:L80" si="70">E81</f>
        <v>450341.08</v>
      </c>
      <c r="F80" s="37">
        <f t="shared" si="70"/>
        <v>450341.08</v>
      </c>
      <c r="G80" s="37">
        <f t="shared" si="70"/>
        <v>0</v>
      </c>
      <c r="H80" s="37">
        <f t="shared" si="70"/>
        <v>0</v>
      </c>
      <c r="I80" s="37">
        <f t="shared" si="70"/>
        <v>869909.3</v>
      </c>
      <c r="J80" s="37">
        <f t="shared" si="70"/>
        <v>869909.3</v>
      </c>
      <c r="K80" s="37">
        <f t="shared" si="70"/>
        <v>0</v>
      </c>
      <c r="L80" s="37">
        <f t="shared" si="70"/>
        <v>0</v>
      </c>
      <c r="M80" s="34">
        <f t="shared" si="55"/>
        <v>1.9316676595437396</v>
      </c>
      <c r="N80" s="34">
        <f t="shared" si="56"/>
        <v>1.9316676595437396</v>
      </c>
      <c r="O80" s="34"/>
      <c r="P80" s="34"/>
      <c r="Q80" s="35">
        <f t="shared" si="51"/>
        <v>419568.22000000003</v>
      </c>
      <c r="R80" s="35">
        <f t="shared" si="52"/>
        <v>419568.22000000003</v>
      </c>
      <c r="S80" s="35">
        <f t="shared" si="53"/>
        <v>0</v>
      </c>
      <c r="T80" s="35">
        <f t="shared" si="54"/>
        <v>0</v>
      </c>
    </row>
    <row r="81" spans="1:20" s="38" customFormat="1" ht="52.2" x14ac:dyDescent="0.3">
      <c r="A81" s="27" t="s">
        <v>22</v>
      </c>
      <c r="B81" s="27"/>
      <c r="C81" s="27"/>
      <c r="D81" s="32" t="s">
        <v>299</v>
      </c>
      <c r="E81" s="37">
        <f t="shared" ref="E81:E86" si="71">F81+G81</f>
        <v>450341.08</v>
      </c>
      <c r="F81" s="37">
        <f>F82+F83+F84+F85+F86</f>
        <v>450341.08</v>
      </c>
      <c r="G81" s="37">
        <f t="shared" ref="G81:H81" si="72">G82+G83+G84+G85+G86</f>
        <v>0</v>
      </c>
      <c r="H81" s="37">
        <f t="shared" si="72"/>
        <v>0</v>
      </c>
      <c r="I81" s="37">
        <f t="shared" si="57"/>
        <v>869909.3</v>
      </c>
      <c r="J81" s="37">
        <f>J82+J83+J84+J85+J86</f>
        <v>869909.3</v>
      </c>
      <c r="K81" s="37">
        <f t="shared" ref="K81:L81" si="73">K82+K83+K84+K85+K86</f>
        <v>0</v>
      </c>
      <c r="L81" s="37">
        <f t="shared" si="73"/>
        <v>0</v>
      </c>
      <c r="M81" s="34">
        <f t="shared" si="55"/>
        <v>1.9316676595437396</v>
      </c>
      <c r="N81" s="34">
        <f t="shared" si="56"/>
        <v>1.9316676595437396</v>
      </c>
      <c r="O81" s="34"/>
      <c r="P81" s="34"/>
      <c r="Q81" s="35">
        <f t="shared" si="51"/>
        <v>419568.22000000003</v>
      </c>
      <c r="R81" s="35">
        <f t="shared" si="52"/>
        <v>419568.22000000003</v>
      </c>
      <c r="S81" s="35">
        <f t="shared" si="53"/>
        <v>0</v>
      </c>
      <c r="T81" s="35">
        <f t="shared" si="54"/>
        <v>0</v>
      </c>
    </row>
    <row r="82" spans="1:20" s="44" customFormat="1" ht="54" x14ac:dyDescent="0.3">
      <c r="A82" s="24" t="s">
        <v>88</v>
      </c>
      <c r="B82" s="24" t="s">
        <v>59</v>
      </c>
      <c r="C82" s="24" t="s">
        <v>3</v>
      </c>
      <c r="D82" s="39" t="s">
        <v>254</v>
      </c>
      <c r="E82" s="40">
        <f t="shared" si="71"/>
        <v>433688.08</v>
      </c>
      <c r="F82" s="42">
        <v>433688.08</v>
      </c>
      <c r="G82" s="40"/>
      <c r="H82" s="40"/>
      <c r="I82" s="40">
        <f t="shared" si="57"/>
        <v>399230.65</v>
      </c>
      <c r="J82" s="42">
        <v>399230.65</v>
      </c>
      <c r="K82" s="40"/>
      <c r="L82" s="40"/>
      <c r="M82" s="41">
        <f t="shared" si="55"/>
        <v>0.92054789700468598</v>
      </c>
      <c r="N82" s="41">
        <f t="shared" si="56"/>
        <v>0.92054789700468598</v>
      </c>
      <c r="O82" s="41"/>
      <c r="P82" s="41"/>
      <c r="Q82" s="42">
        <f t="shared" si="51"/>
        <v>-34457.429999999993</v>
      </c>
      <c r="R82" s="42">
        <f t="shared" si="52"/>
        <v>-34457.429999999993</v>
      </c>
      <c r="S82" s="42">
        <f t="shared" si="53"/>
        <v>0</v>
      </c>
      <c r="T82" s="42">
        <f t="shared" si="54"/>
        <v>0</v>
      </c>
    </row>
    <row r="83" spans="1:20" s="44" customFormat="1" ht="36" x14ac:dyDescent="0.3">
      <c r="A83" s="24" t="s">
        <v>90</v>
      </c>
      <c r="B83" s="24" t="s">
        <v>89</v>
      </c>
      <c r="C83" s="24" t="s">
        <v>17</v>
      </c>
      <c r="D83" s="52" t="s">
        <v>49</v>
      </c>
      <c r="E83" s="40">
        <f t="shared" si="71"/>
        <v>0</v>
      </c>
      <c r="F83" s="40"/>
      <c r="G83" s="40"/>
      <c r="H83" s="40"/>
      <c r="I83" s="40">
        <f t="shared" si="57"/>
        <v>103066.89</v>
      </c>
      <c r="J83" s="40">
        <f>44540+58526.89</f>
        <v>103066.89</v>
      </c>
      <c r="K83" s="40"/>
      <c r="L83" s="40"/>
      <c r="M83" s="41"/>
      <c r="N83" s="41"/>
      <c r="O83" s="41"/>
      <c r="P83" s="41"/>
      <c r="Q83" s="42">
        <f t="shared" si="51"/>
        <v>103066.89</v>
      </c>
      <c r="R83" s="42">
        <f t="shared" si="52"/>
        <v>103066.89</v>
      </c>
      <c r="S83" s="42">
        <f t="shared" si="53"/>
        <v>0</v>
      </c>
      <c r="T83" s="42">
        <f t="shared" si="54"/>
        <v>0</v>
      </c>
    </row>
    <row r="84" spans="1:20" s="44" customFormat="1" ht="54" x14ac:dyDescent="0.3">
      <c r="A84" s="24" t="s">
        <v>24</v>
      </c>
      <c r="B84" s="24" t="s">
        <v>23</v>
      </c>
      <c r="C84" s="24" t="s">
        <v>18</v>
      </c>
      <c r="D84" s="52" t="s">
        <v>43</v>
      </c>
      <c r="E84" s="40">
        <f t="shared" si="71"/>
        <v>0</v>
      </c>
      <c r="F84" s="40"/>
      <c r="G84" s="40"/>
      <c r="H84" s="40"/>
      <c r="I84" s="40">
        <f t="shared" si="57"/>
        <v>62870.96</v>
      </c>
      <c r="J84" s="40">
        <v>62870.96</v>
      </c>
      <c r="K84" s="40"/>
      <c r="L84" s="40"/>
      <c r="M84" s="41"/>
      <c r="N84" s="41"/>
      <c r="O84" s="41"/>
      <c r="P84" s="41"/>
      <c r="Q84" s="42">
        <f t="shared" si="51"/>
        <v>62870.96</v>
      </c>
      <c r="R84" s="42">
        <f t="shared" si="52"/>
        <v>62870.96</v>
      </c>
      <c r="S84" s="42">
        <f t="shared" si="53"/>
        <v>0</v>
      </c>
      <c r="T84" s="42">
        <f t="shared" si="54"/>
        <v>0</v>
      </c>
    </row>
    <row r="85" spans="1:20" s="44" customFormat="1" ht="54" x14ac:dyDescent="0.3">
      <c r="A85" s="24" t="s">
        <v>45</v>
      </c>
      <c r="B85" s="24" t="s">
        <v>46</v>
      </c>
      <c r="C85" s="24" t="s">
        <v>18</v>
      </c>
      <c r="D85" s="52" t="s">
        <v>47</v>
      </c>
      <c r="E85" s="40">
        <f t="shared" si="71"/>
        <v>0</v>
      </c>
      <c r="F85" s="40"/>
      <c r="G85" s="40"/>
      <c r="H85" s="40"/>
      <c r="I85" s="40">
        <f t="shared" si="57"/>
        <v>28002.799999999999</v>
      </c>
      <c r="J85" s="40">
        <v>28002.799999999999</v>
      </c>
      <c r="K85" s="40"/>
      <c r="L85" s="40"/>
      <c r="M85" s="41"/>
      <c r="N85" s="41"/>
      <c r="O85" s="41"/>
      <c r="P85" s="41"/>
      <c r="Q85" s="42">
        <f t="shared" si="51"/>
        <v>28002.799999999999</v>
      </c>
      <c r="R85" s="42">
        <f t="shared" si="52"/>
        <v>28002.799999999999</v>
      </c>
      <c r="S85" s="42">
        <f t="shared" si="53"/>
        <v>0</v>
      </c>
      <c r="T85" s="42">
        <f t="shared" si="54"/>
        <v>0</v>
      </c>
    </row>
    <row r="86" spans="1:20" s="44" customFormat="1" ht="72" x14ac:dyDescent="0.3">
      <c r="A86" s="24" t="s">
        <v>50</v>
      </c>
      <c r="B86" s="24" t="s">
        <v>51</v>
      </c>
      <c r="C86" s="24" t="s">
        <v>18</v>
      </c>
      <c r="D86" s="39" t="s">
        <v>52</v>
      </c>
      <c r="E86" s="40">
        <f t="shared" si="71"/>
        <v>16653</v>
      </c>
      <c r="F86" s="40">
        <v>16653</v>
      </c>
      <c r="G86" s="40"/>
      <c r="H86" s="40"/>
      <c r="I86" s="40">
        <f t="shared" si="57"/>
        <v>276738</v>
      </c>
      <c r="J86" s="40">
        <v>276738</v>
      </c>
      <c r="K86" s="40"/>
      <c r="L86" s="40"/>
      <c r="M86" s="41" t="s">
        <v>279</v>
      </c>
      <c r="N86" s="41" t="s">
        <v>279</v>
      </c>
      <c r="O86" s="41"/>
      <c r="P86" s="41"/>
      <c r="Q86" s="42">
        <f t="shared" si="51"/>
        <v>260085</v>
      </c>
      <c r="R86" s="42">
        <f t="shared" si="52"/>
        <v>260085</v>
      </c>
      <c r="S86" s="42">
        <f t="shared" si="53"/>
        <v>0</v>
      </c>
      <c r="T86" s="42">
        <f t="shared" si="54"/>
        <v>0</v>
      </c>
    </row>
    <row r="87" spans="1:20" s="36" customFormat="1" ht="69.599999999999994" x14ac:dyDescent="0.3">
      <c r="A87" s="27" t="s">
        <v>91</v>
      </c>
      <c r="B87" s="27"/>
      <c r="C87" s="27"/>
      <c r="D87" s="32" t="s">
        <v>233</v>
      </c>
      <c r="E87" s="37">
        <f t="shared" ref="E87:L87" si="74">E88</f>
        <v>40043056.369999997</v>
      </c>
      <c r="F87" s="37">
        <f t="shared" si="74"/>
        <v>40043056.369999997</v>
      </c>
      <c r="G87" s="37">
        <f t="shared" si="74"/>
        <v>0</v>
      </c>
      <c r="H87" s="37">
        <f t="shared" si="74"/>
        <v>0</v>
      </c>
      <c r="I87" s="37">
        <f t="shared" si="74"/>
        <v>50756188.429999992</v>
      </c>
      <c r="J87" s="37">
        <f t="shared" si="74"/>
        <v>49250176.099999994</v>
      </c>
      <c r="K87" s="37">
        <f t="shared" si="74"/>
        <v>1506012.33</v>
      </c>
      <c r="L87" s="37">
        <f t="shared" si="74"/>
        <v>1448114</v>
      </c>
      <c r="M87" s="34">
        <f t="shared" si="55"/>
        <v>1.2675403186262826</v>
      </c>
      <c r="N87" s="34">
        <f t="shared" si="56"/>
        <v>1.2299304939394664</v>
      </c>
      <c r="O87" s="34"/>
      <c r="P87" s="34"/>
      <c r="Q87" s="35">
        <f t="shared" si="51"/>
        <v>10713132.059999995</v>
      </c>
      <c r="R87" s="35">
        <f t="shared" si="52"/>
        <v>9207119.7299999967</v>
      </c>
      <c r="S87" s="35">
        <f t="shared" si="53"/>
        <v>1506012.33</v>
      </c>
      <c r="T87" s="35">
        <f t="shared" si="54"/>
        <v>1448114</v>
      </c>
    </row>
    <row r="88" spans="1:20" s="38" customFormat="1" ht="69.599999999999994" x14ac:dyDescent="0.3">
      <c r="A88" s="27" t="s">
        <v>92</v>
      </c>
      <c r="B88" s="27"/>
      <c r="C88" s="27"/>
      <c r="D88" s="32" t="s">
        <v>233</v>
      </c>
      <c r="E88" s="37">
        <f t="shared" ref="E88:E98" si="75">F88+G88</f>
        <v>40043056.369999997</v>
      </c>
      <c r="F88" s="37">
        <f>F89+F90+F91+F92+F93+F94+F95+F96+F97+F98</f>
        <v>40043056.369999997</v>
      </c>
      <c r="G88" s="37">
        <f t="shared" ref="G88:H88" si="76">G89+G90+G91+G92+G93+G94+G95+G96+G97+G98</f>
        <v>0</v>
      </c>
      <c r="H88" s="37">
        <f t="shared" si="76"/>
        <v>0</v>
      </c>
      <c r="I88" s="37">
        <f t="shared" ref="I88" si="77">J88+K88</f>
        <v>50756188.429999992</v>
      </c>
      <c r="J88" s="37">
        <f>J89+J90+J91+J92+J93+J94+J95+J96+J97+J98</f>
        <v>49250176.099999994</v>
      </c>
      <c r="K88" s="37">
        <f t="shared" ref="K88:L88" si="78">K89+K90+K91+K92+K93+K94+K95+K96+K97+K98</f>
        <v>1506012.33</v>
      </c>
      <c r="L88" s="37">
        <f t="shared" si="78"/>
        <v>1448114</v>
      </c>
      <c r="M88" s="34">
        <f t="shared" si="55"/>
        <v>1.2675403186262826</v>
      </c>
      <c r="N88" s="34">
        <f t="shared" si="56"/>
        <v>1.2299304939394664</v>
      </c>
      <c r="O88" s="34"/>
      <c r="P88" s="34"/>
      <c r="Q88" s="35">
        <f t="shared" si="51"/>
        <v>10713132.059999995</v>
      </c>
      <c r="R88" s="35">
        <f t="shared" si="52"/>
        <v>9207119.7299999967</v>
      </c>
      <c r="S88" s="35">
        <f t="shared" si="53"/>
        <v>1506012.33</v>
      </c>
      <c r="T88" s="35">
        <f t="shared" si="54"/>
        <v>1448114</v>
      </c>
    </row>
    <row r="89" spans="1:20" s="44" customFormat="1" ht="54" x14ac:dyDescent="0.3">
      <c r="A89" s="24" t="s">
        <v>93</v>
      </c>
      <c r="B89" s="24" t="s">
        <v>59</v>
      </c>
      <c r="C89" s="24" t="s">
        <v>3</v>
      </c>
      <c r="D89" s="39" t="s">
        <v>254</v>
      </c>
      <c r="E89" s="40">
        <f t="shared" si="75"/>
        <v>942262.68</v>
      </c>
      <c r="F89" s="40">
        <v>942262.68</v>
      </c>
      <c r="G89" s="40"/>
      <c r="H89" s="40"/>
      <c r="I89" s="40">
        <f t="shared" si="57"/>
        <v>847149.24</v>
      </c>
      <c r="J89" s="40">
        <v>847149.24</v>
      </c>
      <c r="K89" s="40"/>
      <c r="L89" s="40"/>
      <c r="M89" s="41">
        <f t="shared" ref="M89" si="79">I89/E89</f>
        <v>0.89905846637160669</v>
      </c>
      <c r="N89" s="41">
        <f t="shared" ref="N89" si="80">J89/F89</f>
        <v>0.89905846637160669</v>
      </c>
      <c r="O89" s="41"/>
      <c r="P89" s="41"/>
      <c r="Q89" s="42">
        <f t="shared" si="51"/>
        <v>-95113.440000000061</v>
      </c>
      <c r="R89" s="42">
        <f t="shared" si="52"/>
        <v>-95113.440000000061</v>
      </c>
      <c r="S89" s="42">
        <f t="shared" si="53"/>
        <v>0</v>
      </c>
      <c r="T89" s="42">
        <f t="shared" si="54"/>
        <v>0</v>
      </c>
    </row>
    <row r="90" spans="1:20" s="44" customFormat="1" ht="36" x14ac:dyDescent="0.3">
      <c r="A90" s="24" t="s">
        <v>247</v>
      </c>
      <c r="B90" s="24" t="s">
        <v>8</v>
      </c>
      <c r="C90" s="24" t="s">
        <v>6</v>
      </c>
      <c r="D90" s="39" t="s">
        <v>110</v>
      </c>
      <c r="E90" s="40">
        <f t="shared" si="75"/>
        <v>0</v>
      </c>
      <c r="F90" s="40"/>
      <c r="G90" s="40"/>
      <c r="H90" s="40"/>
      <c r="I90" s="40">
        <f t="shared" si="57"/>
        <v>14925</v>
      </c>
      <c r="J90" s="40">
        <v>14925</v>
      </c>
      <c r="K90" s="40"/>
      <c r="L90" s="40"/>
      <c r="M90" s="41"/>
      <c r="N90" s="41"/>
      <c r="O90" s="41"/>
      <c r="P90" s="41"/>
      <c r="Q90" s="42">
        <f t="shared" si="51"/>
        <v>14925</v>
      </c>
      <c r="R90" s="42">
        <f t="shared" si="52"/>
        <v>14925</v>
      </c>
      <c r="S90" s="42">
        <f t="shared" si="53"/>
        <v>0</v>
      </c>
      <c r="T90" s="42">
        <f t="shared" si="54"/>
        <v>0</v>
      </c>
    </row>
    <row r="91" spans="1:20" s="44" customFormat="1" ht="54" x14ac:dyDescent="0.3">
      <c r="A91" s="24" t="s">
        <v>128</v>
      </c>
      <c r="B91" s="24" t="s">
        <v>127</v>
      </c>
      <c r="C91" s="24" t="s">
        <v>7</v>
      </c>
      <c r="D91" s="52" t="s">
        <v>129</v>
      </c>
      <c r="E91" s="40">
        <f t="shared" si="75"/>
        <v>21700000</v>
      </c>
      <c r="F91" s="40">
        <v>21700000</v>
      </c>
      <c r="G91" s="40"/>
      <c r="H91" s="40"/>
      <c r="I91" s="40">
        <f t="shared" si="57"/>
        <v>19999617.32</v>
      </c>
      <c r="J91" s="40">
        <v>19999617.32</v>
      </c>
      <c r="K91" s="40"/>
      <c r="L91" s="40"/>
      <c r="M91" s="41">
        <f t="shared" ref="M91" si="81">I91/E91</f>
        <v>0.9216413511520738</v>
      </c>
      <c r="N91" s="41">
        <f t="shared" ref="N91" si="82">J91/F91</f>
        <v>0.9216413511520738</v>
      </c>
      <c r="O91" s="41"/>
      <c r="P91" s="41"/>
      <c r="Q91" s="42">
        <f t="shared" si="51"/>
        <v>-1700382.6799999997</v>
      </c>
      <c r="R91" s="42">
        <f t="shared" si="52"/>
        <v>-1700382.6799999997</v>
      </c>
      <c r="S91" s="42">
        <f t="shared" si="53"/>
        <v>0</v>
      </c>
      <c r="T91" s="42">
        <f t="shared" si="54"/>
        <v>0</v>
      </c>
    </row>
    <row r="92" spans="1:20" s="44" customFormat="1" ht="36" x14ac:dyDescent="0.3">
      <c r="A92" s="24" t="s">
        <v>108</v>
      </c>
      <c r="B92" s="24" t="s">
        <v>107</v>
      </c>
      <c r="C92" s="24" t="s">
        <v>7</v>
      </c>
      <c r="D92" s="52" t="s">
        <v>109</v>
      </c>
      <c r="E92" s="40">
        <f t="shared" si="75"/>
        <v>1249700</v>
      </c>
      <c r="F92" s="40">
        <v>1249700</v>
      </c>
      <c r="G92" s="40"/>
      <c r="H92" s="40"/>
      <c r="I92" s="40">
        <f t="shared" si="57"/>
        <v>0</v>
      </c>
      <c r="J92" s="40"/>
      <c r="K92" s="40"/>
      <c r="L92" s="40"/>
      <c r="M92" s="41">
        <f t="shared" si="55"/>
        <v>0</v>
      </c>
      <c r="N92" s="41">
        <f t="shared" si="56"/>
        <v>0</v>
      </c>
      <c r="O92" s="41"/>
      <c r="P92" s="41"/>
      <c r="Q92" s="42">
        <f t="shared" si="51"/>
        <v>-1249700</v>
      </c>
      <c r="R92" s="42">
        <f t="shared" si="52"/>
        <v>-1249700</v>
      </c>
      <c r="S92" s="42">
        <f t="shared" si="53"/>
        <v>0</v>
      </c>
      <c r="T92" s="42">
        <f t="shared" si="54"/>
        <v>0</v>
      </c>
    </row>
    <row r="93" spans="1:20" s="44" customFormat="1" ht="54" x14ac:dyDescent="0.3">
      <c r="A93" s="24" t="s">
        <v>160</v>
      </c>
      <c r="B93" s="24" t="s">
        <v>161</v>
      </c>
      <c r="C93" s="24" t="s">
        <v>7</v>
      </c>
      <c r="D93" s="52" t="s">
        <v>162</v>
      </c>
      <c r="E93" s="40">
        <f t="shared" si="75"/>
        <v>95716.4</v>
      </c>
      <c r="F93" s="40">
        <v>95716.4</v>
      </c>
      <c r="G93" s="40"/>
      <c r="H93" s="40"/>
      <c r="I93" s="40">
        <f t="shared" si="57"/>
        <v>225839.1</v>
      </c>
      <c r="J93" s="40">
        <v>225839.1</v>
      </c>
      <c r="K93" s="40"/>
      <c r="L93" s="40"/>
      <c r="M93" s="41">
        <f t="shared" si="55"/>
        <v>2.35946086564058</v>
      </c>
      <c r="N93" s="41">
        <f t="shared" si="56"/>
        <v>2.35946086564058</v>
      </c>
      <c r="O93" s="41"/>
      <c r="P93" s="41"/>
      <c r="Q93" s="42">
        <f t="shared" si="51"/>
        <v>130122.70000000001</v>
      </c>
      <c r="R93" s="42">
        <f t="shared" si="52"/>
        <v>130122.70000000001</v>
      </c>
      <c r="S93" s="42">
        <f t="shared" si="53"/>
        <v>0</v>
      </c>
      <c r="T93" s="42">
        <f t="shared" si="54"/>
        <v>0</v>
      </c>
    </row>
    <row r="94" spans="1:20" s="44" customFormat="1" ht="36" x14ac:dyDescent="0.3">
      <c r="A94" s="24" t="s">
        <v>94</v>
      </c>
      <c r="B94" s="24" t="s">
        <v>40</v>
      </c>
      <c r="C94" s="24" t="s">
        <v>7</v>
      </c>
      <c r="D94" s="39" t="s">
        <v>56</v>
      </c>
      <c r="E94" s="40">
        <f t="shared" si="75"/>
        <v>10629420.99</v>
      </c>
      <c r="F94" s="40">
        <v>10629420.99</v>
      </c>
      <c r="G94" s="40"/>
      <c r="H94" s="40"/>
      <c r="I94" s="40">
        <f t="shared" si="57"/>
        <v>11490174.390000001</v>
      </c>
      <c r="J94" s="40">
        <f>6838794.7+3065476.97+1585902.72</f>
        <v>11490174.390000001</v>
      </c>
      <c r="K94" s="40"/>
      <c r="L94" s="40"/>
      <c r="M94" s="41">
        <f t="shared" si="55"/>
        <v>1.0809783901502992</v>
      </c>
      <c r="N94" s="41">
        <f t="shared" si="56"/>
        <v>1.0809783901502992</v>
      </c>
      <c r="O94" s="41"/>
      <c r="P94" s="41"/>
      <c r="Q94" s="42">
        <f t="shared" si="51"/>
        <v>860753.40000000037</v>
      </c>
      <c r="R94" s="42">
        <f t="shared" si="52"/>
        <v>860753.40000000037</v>
      </c>
      <c r="S94" s="42">
        <f t="shared" si="53"/>
        <v>0</v>
      </c>
      <c r="T94" s="42">
        <f t="shared" si="54"/>
        <v>0</v>
      </c>
    </row>
    <row r="95" spans="1:20" s="44" customFormat="1" ht="54" x14ac:dyDescent="0.3">
      <c r="A95" s="24" t="s">
        <v>126</v>
      </c>
      <c r="B95" s="24" t="s">
        <v>103</v>
      </c>
      <c r="C95" s="24" t="s">
        <v>41</v>
      </c>
      <c r="D95" s="52" t="s">
        <v>104</v>
      </c>
      <c r="E95" s="40">
        <f t="shared" si="75"/>
        <v>4010364.4</v>
      </c>
      <c r="F95" s="40">
        <v>4010364.4</v>
      </c>
      <c r="G95" s="40"/>
      <c r="H95" s="40"/>
      <c r="I95" s="40">
        <f t="shared" si="57"/>
        <v>7762927.2000000002</v>
      </c>
      <c r="J95" s="40">
        <v>7762927.2000000002</v>
      </c>
      <c r="K95" s="40"/>
      <c r="L95" s="40"/>
      <c r="M95" s="41">
        <f t="shared" si="55"/>
        <v>1.9357161658426851</v>
      </c>
      <c r="N95" s="41">
        <f t="shared" si="56"/>
        <v>1.9357161658426851</v>
      </c>
      <c r="O95" s="41"/>
      <c r="P95" s="41"/>
      <c r="Q95" s="42">
        <f t="shared" si="51"/>
        <v>3752562.8000000003</v>
      </c>
      <c r="R95" s="42">
        <f t="shared" si="52"/>
        <v>3752562.8000000003</v>
      </c>
      <c r="S95" s="42">
        <f t="shared" si="53"/>
        <v>0</v>
      </c>
      <c r="T95" s="42">
        <f t="shared" si="54"/>
        <v>0</v>
      </c>
    </row>
    <row r="96" spans="1:20" s="44" customFormat="1" ht="36" x14ac:dyDescent="0.3">
      <c r="A96" s="28">
        <v>1217693</v>
      </c>
      <c r="B96" s="28" t="s">
        <v>139</v>
      </c>
      <c r="C96" s="28" t="s">
        <v>20</v>
      </c>
      <c r="D96" s="30" t="s">
        <v>264</v>
      </c>
      <c r="E96" s="40">
        <f t="shared" si="75"/>
        <v>1415591.9</v>
      </c>
      <c r="F96" s="40">
        <v>1415591.9</v>
      </c>
      <c r="G96" s="40"/>
      <c r="H96" s="40"/>
      <c r="I96" s="40">
        <f t="shared" si="57"/>
        <v>8043711.6200000001</v>
      </c>
      <c r="J96" s="40">
        <f>1501323.71+6542387.91</f>
        <v>8043711.6200000001</v>
      </c>
      <c r="K96" s="40"/>
      <c r="L96" s="40"/>
      <c r="M96" s="41">
        <f t="shared" si="55"/>
        <v>5.6822249548051245</v>
      </c>
      <c r="N96" s="41">
        <f t="shared" si="56"/>
        <v>5.6822249548051245</v>
      </c>
      <c r="O96" s="41"/>
      <c r="P96" s="41"/>
      <c r="Q96" s="42">
        <f t="shared" si="51"/>
        <v>6628119.7200000007</v>
      </c>
      <c r="R96" s="42">
        <f t="shared" si="52"/>
        <v>6628119.7200000007</v>
      </c>
      <c r="S96" s="42">
        <f t="shared" si="53"/>
        <v>0</v>
      </c>
      <c r="T96" s="42">
        <f t="shared" si="54"/>
        <v>0</v>
      </c>
    </row>
    <row r="97" spans="1:20" s="44" customFormat="1" ht="54" x14ac:dyDescent="0.3">
      <c r="A97" s="28">
        <v>1218110</v>
      </c>
      <c r="B97" s="28">
        <v>8110</v>
      </c>
      <c r="C97" s="29" t="s">
        <v>5</v>
      </c>
      <c r="D97" s="30" t="s">
        <v>141</v>
      </c>
      <c r="E97" s="40">
        <f t="shared" si="75"/>
        <v>0</v>
      </c>
      <c r="F97" s="40"/>
      <c r="G97" s="40"/>
      <c r="H97" s="40"/>
      <c r="I97" s="40">
        <f t="shared" si="57"/>
        <v>2313946.23</v>
      </c>
      <c r="J97" s="40">
        <f>599904.23+265928</f>
        <v>865832.23</v>
      </c>
      <c r="K97" s="40">
        <f>75000+1373114</f>
        <v>1448114</v>
      </c>
      <c r="L97" s="40">
        <f>75000+1373114</f>
        <v>1448114</v>
      </c>
      <c r="M97" s="41"/>
      <c r="N97" s="41"/>
      <c r="O97" s="41"/>
      <c r="P97" s="41"/>
      <c r="Q97" s="42">
        <f t="shared" si="51"/>
        <v>2313946.23</v>
      </c>
      <c r="R97" s="42">
        <f t="shared" si="52"/>
        <v>865832.23</v>
      </c>
      <c r="S97" s="42">
        <f t="shared" si="53"/>
        <v>1448114</v>
      </c>
      <c r="T97" s="42">
        <f t="shared" si="54"/>
        <v>1448114</v>
      </c>
    </row>
    <row r="98" spans="1:20" s="44" customFormat="1" ht="36" x14ac:dyDescent="0.3">
      <c r="A98" s="24" t="s">
        <v>132</v>
      </c>
      <c r="B98" s="24" t="s">
        <v>130</v>
      </c>
      <c r="C98" s="24" t="s">
        <v>42</v>
      </c>
      <c r="D98" s="61" t="s">
        <v>138</v>
      </c>
      <c r="E98" s="40">
        <f t="shared" si="75"/>
        <v>0</v>
      </c>
      <c r="F98" s="40"/>
      <c r="G98" s="40"/>
      <c r="H98" s="40"/>
      <c r="I98" s="40">
        <f t="shared" si="57"/>
        <v>57898.33</v>
      </c>
      <c r="J98" s="40"/>
      <c r="K98" s="40">
        <v>57898.33</v>
      </c>
      <c r="L98" s="40"/>
      <c r="M98" s="41"/>
      <c r="N98" s="41"/>
      <c r="O98" s="41"/>
      <c r="P98" s="41"/>
      <c r="Q98" s="42">
        <f t="shared" si="51"/>
        <v>57898.33</v>
      </c>
      <c r="R98" s="42">
        <f t="shared" si="52"/>
        <v>0</v>
      </c>
      <c r="S98" s="42">
        <f t="shared" si="53"/>
        <v>57898.33</v>
      </c>
      <c r="T98" s="42">
        <f t="shared" si="54"/>
        <v>0</v>
      </c>
    </row>
    <row r="99" spans="1:20" s="36" customFormat="1" ht="52.2" x14ac:dyDescent="0.3">
      <c r="A99" s="27" t="s">
        <v>25</v>
      </c>
      <c r="B99" s="27"/>
      <c r="C99" s="27"/>
      <c r="D99" s="32" t="s">
        <v>225</v>
      </c>
      <c r="E99" s="37">
        <f t="shared" ref="E99:L99" si="83">E100</f>
        <v>824058.23</v>
      </c>
      <c r="F99" s="37">
        <f t="shared" si="83"/>
        <v>824058.23</v>
      </c>
      <c r="G99" s="37">
        <f t="shared" si="83"/>
        <v>0</v>
      </c>
      <c r="H99" s="37">
        <f t="shared" si="83"/>
        <v>0</v>
      </c>
      <c r="I99" s="37">
        <f t="shared" si="83"/>
        <v>8719733.4199999999</v>
      </c>
      <c r="J99" s="37">
        <f t="shared" si="83"/>
        <v>1470315.1099999999</v>
      </c>
      <c r="K99" s="37">
        <f t="shared" si="83"/>
        <v>7249418.3100000005</v>
      </c>
      <c r="L99" s="37">
        <f t="shared" si="83"/>
        <v>7249418.3100000005</v>
      </c>
      <c r="M99" s="34" t="s">
        <v>283</v>
      </c>
      <c r="N99" s="34">
        <f t="shared" ref="N99:N119" si="84">J99/F99</f>
        <v>1.784236910054281</v>
      </c>
      <c r="O99" s="34"/>
      <c r="P99" s="34"/>
      <c r="Q99" s="35">
        <f t="shared" ref="Q99:Q119" si="85">I99-E99</f>
        <v>7895675.1899999995</v>
      </c>
      <c r="R99" s="35">
        <f t="shared" ref="R99:R119" si="86">J99-F99</f>
        <v>646256.87999999989</v>
      </c>
      <c r="S99" s="35">
        <f t="shared" ref="S99:S119" si="87">K99-G99</f>
        <v>7249418.3100000005</v>
      </c>
      <c r="T99" s="35">
        <f t="shared" ref="T99:T119" si="88">L99-H99</f>
        <v>7249418.3100000005</v>
      </c>
    </row>
    <row r="100" spans="1:20" s="38" customFormat="1" ht="52.2" x14ac:dyDescent="0.3">
      <c r="A100" s="27" t="s">
        <v>26</v>
      </c>
      <c r="B100" s="27"/>
      <c r="C100" s="27"/>
      <c r="D100" s="32" t="s">
        <v>225</v>
      </c>
      <c r="E100" s="37">
        <f t="shared" ref="E100:E106" si="89">F100+G100</f>
        <v>824058.23</v>
      </c>
      <c r="F100" s="37">
        <f>F101+F103+F105+F106+F104+F102</f>
        <v>824058.23</v>
      </c>
      <c r="G100" s="37">
        <f t="shared" ref="G100:H100" si="90">G101+G103+G105+G106+G104+G102</f>
        <v>0</v>
      </c>
      <c r="H100" s="37">
        <f t="shared" si="90"/>
        <v>0</v>
      </c>
      <c r="I100" s="37">
        <f t="shared" ref="I100" si="91">J100+K100</f>
        <v>8719733.4199999999</v>
      </c>
      <c r="J100" s="37">
        <f>J101+J103+J105+J106+J104+J102</f>
        <v>1470315.1099999999</v>
      </c>
      <c r="K100" s="37">
        <f t="shared" ref="K100:L100" si="92">K101+K103+K105+K106+K104+K102</f>
        <v>7249418.3100000005</v>
      </c>
      <c r="L100" s="37">
        <f t="shared" si="92"/>
        <v>7249418.3100000005</v>
      </c>
      <c r="M100" s="34" t="s">
        <v>283</v>
      </c>
      <c r="N100" s="34">
        <f t="shared" si="84"/>
        <v>1.784236910054281</v>
      </c>
      <c r="O100" s="34"/>
      <c r="P100" s="34"/>
      <c r="Q100" s="35">
        <f t="shared" si="85"/>
        <v>7895675.1899999995</v>
      </c>
      <c r="R100" s="35">
        <f t="shared" si="86"/>
        <v>646256.87999999989</v>
      </c>
      <c r="S100" s="35">
        <f t="shared" si="87"/>
        <v>7249418.3100000005</v>
      </c>
      <c r="T100" s="35">
        <f t="shared" si="88"/>
        <v>7249418.3100000005</v>
      </c>
    </row>
    <row r="101" spans="1:20" s="44" customFormat="1" ht="54" x14ac:dyDescent="0.3">
      <c r="A101" s="24" t="s">
        <v>95</v>
      </c>
      <c r="B101" s="24" t="s">
        <v>59</v>
      </c>
      <c r="C101" s="24" t="s">
        <v>3</v>
      </c>
      <c r="D101" s="39" t="s">
        <v>254</v>
      </c>
      <c r="E101" s="40">
        <f t="shared" si="89"/>
        <v>824058.23</v>
      </c>
      <c r="F101" s="40">
        <v>824058.23</v>
      </c>
      <c r="G101" s="40"/>
      <c r="H101" s="40"/>
      <c r="I101" s="40">
        <f t="shared" si="57"/>
        <v>1027005.51</v>
      </c>
      <c r="J101" s="40">
        <v>1027005.51</v>
      </c>
      <c r="K101" s="40"/>
      <c r="L101" s="40"/>
      <c r="M101" s="41">
        <f t="shared" ref="M101:M119" si="93">I101/E101</f>
        <v>1.2462778388852449</v>
      </c>
      <c r="N101" s="41">
        <f t="shared" si="84"/>
        <v>1.2462778388852449</v>
      </c>
      <c r="O101" s="41"/>
      <c r="P101" s="41"/>
      <c r="Q101" s="42">
        <f t="shared" si="85"/>
        <v>202947.28000000003</v>
      </c>
      <c r="R101" s="42">
        <f t="shared" si="86"/>
        <v>202947.28000000003</v>
      </c>
      <c r="S101" s="42">
        <f t="shared" si="87"/>
        <v>0</v>
      </c>
      <c r="T101" s="42">
        <f t="shared" si="88"/>
        <v>0</v>
      </c>
    </row>
    <row r="102" spans="1:20" s="44" customFormat="1" ht="36" x14ac:dyDescent="0.3">
      <c r="A102" s="29" t="s">
        <v>282</v>
      </c>
      <c r="B102" s="29" t="s">
        <v>105</v>
      </c>
      <c r="C102" s="29" t="s">
        <v>39</v>
      </c>
      <c r="D102" s="30" t="s">
        <v>106</v>
      </c>
      <c r="E102" s="40">
        <f t="shared" si="89"/>
        <v>0</v>
      </c>
      <c r="F102" s="40"/>
      <c r="G102" s="40"/>
      <c r="H102" s="40"/>
      <c r="I102" s="40">
        <f t="shared" si="57"/>
        <v>181794.92</v>
      </c>
      <c r="J102" s="40"/>
      <c r="K102" s="40">
        <v>181794.92</v>
      </c>
      <c r="L102" s="40">
        <v>181794.92</v>
      </c>
      <c r="M102" s="41"/>
      <c r="N102" s="41"/>
      <c r="O102" s="41"/>
      <c r="P102" s="41"/>
      <c r="Q102" s="42">
        <f t="shared" ref="Q102" si="94">I102-E102</f>
        <v>181794.92</v>
      </c>
      <c r="R102" s="42">
        <f t="shared" ref="R102" si="95">J102-F102</f>
        <v>0</v>
      </c>
      <c r="S102" s="42">
        <f t="shared" si="87"/>
        <v>181794.92</v>
      </c>
      <c r="T102" s="42">
        <f t="shared" si="88"/>
        <v>181794.92</v>
      </c>
    </row>
    <row r="103" spans="1:20" s="44" customFormat="1" ht="36" x14ac:dyDescent="0.3">
      <c r="A103" s="24" t="s">
        <v>248</v>
      </c>
      <c r="B103" s="24" t="s">
        <v>40</v>
      </c>
      <c r="C103" s="24" t="s">
        <v>7</v>
      </c>
      <c r="D103" s="39" t="s">
        <v>56</v>
      </c>
      <c r="E103" s="40">
        <f t="shared" si="89"/>
        <v>0</v>
      </c>
      <c r="F103" s="40"/>
      <c r="G103" s="40"/>
      <c r="H103" s="40"/>
      <c r="I103" s="40">
        <f t="shared" si="57"/>
        <v>25000</v>
      </c>
      <c r="J103" s="40"/>
      <c r="K103" s="40">
        <v>25000</v>
      </c>
      <c r="L103" s="40">
        <v>25000</v>
      </c>
      <c r="M103" s="41"/>
      <c r="N103" s="41"/>
      <c r="O103" s="41"/>
      <c r="P103" s="41"/>
      <c r="Q103" s="42">
        <f t="shared" si="85"/>
        <v>25000</v>
      </c>
      <c r="R103" s="42">
        <f t="shared" si="86"/>
        <v>0</v>
      </c>
      <c r="S103" s="42">
        <f t="shared" si="87"/>
        <v>25000</v>
      </c>
      <c r="T103" s="42">
        <f t="shared" si="88"/>
        <v>25000</v>
      </c>
    </row>
    <row r="104" spans="1:20" s="44" customFormat="1" ht="72" x14ac:dyDescent="0.3">
      <c r="A104" s="29" t="s">
        <v>280</v>
      </c>
      <c r="B104" s="29">
        <v>6050</v>
      </c>
      <c r="C104" s="29" t="s">
        <v>7</v>
      </c>
      <c r="D104" s="30" t="s">
        <v>281</v>
      </c>
      <c r="E104" s="40"/>
      <c r="F104" s="40"/>
      <c r="G104" s="40"/>
      <c r="H104" s="40"/>
      <c r="I104" s="40">
        <f t="shared" si="57"/>
        <v>443309.6</v>
      </c>
      <c r="J104" s="40">
        <v>443309.6</v>
      </c>
      <c r="K104" s="40"/>
      <c r="L104" s="40"/>
      <c r="M104" s="41"/>
      <c r="N104" s="41"/>
      <c r="O104" s="41"/>
      <c r="P104" s="41"/>
      <c r="Q104" s="42">
        <f t="shared" ref="Q104" si="96">I104-E104</f>
        <v>443309.6</v>
      </c>
      <c r="R104" s="42">
        <f t="shared" ref="R104" si="97">J104-F104</f>
        <v>443309.6</v>
      </c>
      <c r="S104" s="42"/>
      <c r="T104" s="42"/>
    </row>
    <row r="105" spans="1:20" s="44" customFormat="1" ht="36" x14ac:dyDescent="0.3">
      <c r="A105" s="24" t="s">
        <v>255</v>
      </c>
      <c r="B105" s="24" t="s">
        <v>252</v>
      </c>
      <c r="C105" s="24" t="s">
        <v>20</v>
      </c>
      <c r="D105" s="39" t="s">
        <v>253</v>
      </c>
      <c r="E105" s="40">
        <f t="shared" si="89"/>
        <v>0</v>
      </c>
      <c r="F105" s="40"/>
      <c r="G105" s="40"/>
      <c r="H105" s="40"/>
      <c r="I105" s="40">
        <f t="shared" si="57"/>
        <v>385498.86</v>
      </c>
      <c r="J105" s="40"/>
      <c r="K105" s="40">
        <v>385498.86</v>
      </c>
      <c r="L105" s="40">
        <f>K105</f>
        <v>385498.86</v>
      </c>
      <c r="M105" s="41"/>
      <c r="N105" s="41"/>
      <c r="O105" s="41"/>
      <c r="P105" s="41"/>
      <c r="Q105" s="42">
        <f t="shared" si="85"/>
        <v>385498.86</v>
      </c>
      <c r="R105" s="42">
        <f t="shared" si="86"/>
        <v>0</v>
      </c>
      <c r="S105" s="42">
        <f t="shared" si="87"/>
        <v>385498.86</v>
      </c>
      <c r="T105" s="42">
        <f t="shared" si="88"/>
        <v>385498.86</v>
      </c>
    </row>
    <row r="106" spans="1:20" s="44" customFormat="1" ht="54" x14ac:dyDescent="0.3">
      <c r="A106" s="29" t="s">
        <v>266</v>
      </c>
      <c r="B106" s="28">
        <v>8110</v>
      </c>
      <c r="C106" s="29" t="s">
        <v>5</v>
      </c>
      <c r="D106" s="30" t="s">
        <v>141</v>
      </c>
      <c r="E106" s="40">
        <f t="shared" si="89"/>
        <v>0</v>
      </c>
      <c r="F106" s="40"/>
      <c r="G106" s="40"/>
      <c r="H106" s="40"/>
      <c r="I106" s="40">
        <f t="shared" si="57"/>
        <v>6657124.5300000003</v>
      </c>
      <c r="J106" s="40"/>
      <c r="K106" s="40">
        <v>6657124.5300000003</v>
      </c>
      <c r="L106" s="40">
        <f>K106</f>
        <v>6657124.5300000003</v>
      </c>
      <c r="M106" s="41"/>
      <c r="N106" s="41"/>
      <c r="O106" s="41"/>
      <c r="P106" s="41"/>
      <c r="Q106" s="42">
        <f t="shared" si="85"/>
        <v>6657124.5300000003</v>
      </c>
      <c r="R106" s="42">
        <f t="shared" si="86"/>
        <v>0</v>
      </c>
      <c r="S106" s="42">
        <f t="shared" si="87"/>
        <v>6657124.5300000003</v>
      </c>
      <c r="T106" s="42">
        <f t="shared" si="88"/>
        <v>6657124.5300000003</v>
      </c>
    </row>
    <row r="107" spans="1:20" s="38" customFormat="1" ht="69.599999999999994" x14ac:dyDescent="0.3">
      <c r="A107" s="27" t="s">
        <v>96</v>
      </c>
      <c r="B107" s="27"/>
      <c r="C107" s="27"/>
      <c r="D107" s="32" t="s">
        <v>226</v>
      </c>
      <c r="E107" s="37">
        <f t="shared" ref="E107:L107" si="98">E108</f>
        <v>3559936.4099999997</v>
      </c>
      <c r="F107" s="37">
        <f t="shared" si="98"/>
        <v>3559936.4099999997</v>
      </c>
      <c r="G107" s="37">
        <f t="shared" si="98"/>
        <v>0</v>
      </c>
      <c r="H107" s="37">
        <f t="shared" si="98"/>
        <v>0</v>
      </c>
      <c r="I107" s="37">
        <f t="shared" si="98"/>
        <v>3114205.8700000006</v>
      </c>
      <c r="J107" s="37">
        <f t="shared" si="98"/>
        <v>3114205.8700000006</v>
      </c>
      <c r="K107" s="37">
        <f t="shared" si="98"/>
        <v>0</v>
      </c>
      <c r="L107" s="37">
        <f t="shared" si="98"/>
        <v>0</v>
      </c>
      <c r="M107" s="34">
        <f t="shared" ref="M107:M111" si="99">I107/E107</f>
        <v>0.87479255563444203</v>
      </c>
      <c r="N107" s="34">
        <f t="shared" ref="N107:N111" si="100">J107/F107</f>
        <v>0.87479255563444203</v>
      </c>
      <c r="O107" s="34"/>
      <c r="P107" s="34"/>
      <c r="Q107" s="35">
        <f t="shared" si="85"/>
        <v>-445730.53999999911</v>
      </c>
      <c r="R107" s="35">
        <f t="shared" si="86"/>
        <v>-445730.53999999911</v>
      </c>
      <c r="S107" s="35">
        <f t="shared" si="87"/>
        <v>0</v>
      </c>
      <c r="T107" s="35">
        <f t="shared" si="88"/>
        <v>0</v>
      </c>
    </row>
    <row r="108" spans="1:20" s="38" customFormat="1" ht="69.599999999999994" x14ac:dyDescent="0.3">
      <c r="A108" s="27" t="s">
        <v>97</v>
      </c>
      <c r="B108" s="27"/>
      <c r="C108" s="27"/>
      <c r="D108" s="32" t="s">
        <v>226</v>
      </c>
      <c r="E108" s="37">
        <f t="shared" ref="E108:E111" si="101">F108+G108</f>
        <v>3559936.4099999997</v>
      </c>
      <c r="F108" s="37">
        <f>F109+F111+F110</f>
        <v>3559936.4099999997</v>
      </c>
      <c r="G108" s="37">
        <f t="shared" ref="G108:H108" si="102">G109+G111+G110</f>
        <v>0</v>
      </c>
      <c r="H108" s="37">
        <f t="shared" si="102"/>
        <v>0</v>
      </c>
      <c r="I108" s="37">
        <f t="shared" ref="I108" si="103">J108+K108</f>
        <v>3114205.8700000006</v>
      </c>
      <c r="J108" s="37">
        <f>J109+J111+J110</f>
        <v>3114205.8700000006</v>
      </c>
      <c r="K108" s="37">
        <f t="shared" ref="K108:L108" si="104">K109+K111+K110</f>
        <v>0</v>
      </c>
      <c r="L108" s="37">
        <f t="shared" si="104"/>
        <v>0</v>
      </c>
      <c r="M108" s="41">
        <f t="shared" si="99"/>
        <v>0.87479255563444203</v>
      </c>
      <c r="N108" s="41">
        <f t="shared" si="100"/>
        <v>0.87479255563444203</v>
      </c>
      <c r="O108" s="34"/>
      <c r="P108" s="34"/>
      <c r="Q108" s="35">
        <f t="shared" si="85"/>
        <v>-445730.53999999911</v>
      </c>
      <c r="R108" s="35">
        <f t="shared" si="86"/>
        <v>-445730.53999999911</v>
      </c>
      <c r="S108" s="35">
        <f t="shared" si="87"/>
        <v>0</v>
      </c>
      <c r="T108" s="35">
        <f t="shared" si="88"/>
        <v>0</v>
      </c>
    </row>
    <row r="109" spans="1:20" s="44" customFormat="1" ht="54" x14ac:dyDescent="0.3">
      <c r="A109" s="24" t="s">
        <v>98</v>
      </c>
      <c r="B109" s="24" t="s">
        <v>59</v>
      </c>
      <c r="C109" s="24" t="s">
        <v>3</v>
      </c>
      <c r="D109" s="39" t="s">
        <v>254</v>
      </c>
      <c r="E109" s="40">
        <f t="shared" si="101"/>
        <v>700560.9</v>
      </c>
      <c r="F109" s="40">
        <v>700560.9</v>
      </c>
      <c r="G109" s="40"/>
      <c r="H109" s="40"/>
      <c r="I109" s="40">
        <f t="shared" ref="I109:I119" si="105">J109+K109</f>
        <v>605938.06000000006</v>
      </c>
      <c r="J109" s="40">
        <v>605938.06000000006</v>
      </c>
      <c r="K109" s="40"/>
      <c r="L109" s="40"/>
      <c r="M109" s="41">
        <f t="shared" si="99"/>
        <v>0.86493274175021762</v>
      </c>
      <c r="N109" s="41">
        <f t="shared" si="100"/>
        <v>0.86493274175021762</v>
      </c>
      <c r="O109" s="41"/>
      <c r="P109" s="41"/>
      <c r="Q109" s="42">
        <f t="shared" si="85"/>
        <v>-94622.839999999967</v>
      </c>
      <c r="R109" s="42">
        <f t="shared" si="86"/>
        <v>-94622.839999999967</v>
      </c>
      <c r="S109" s="42">
        <f t="shared" si="87"/>
        <v>0</v>
      </c>
      <c r="T109" s="42">
        <f t="shared" si="88"/>
        <v>0</v>
      </c>
    </row>
    <row r="110" spans="1:20" s="44" customFormat="1" ht="54" x14ac:dyDescent="0.3">
      <c r="A110" s="28" t="s">
        <v>267</v>
      </c>
      <c r="B110" s="28" t="s">
        <v>161</v>
      </c>
      <c r="C110" s="28" t="s">
        <v>7</v>
      </c>
      <c r="D110" s="30" t="s">
        <v>268</v>
      </c>
      <c r="E110" s="40">
        <f t="shared" si="101"/>
        <v>0</v>
      </c>
      <c r="F110" s="40"/>
      <c r="G110" s="40"/>
      <c r="H110" s="40"/>
      <c r="I110" s="40">
        <f t="shared" si="105"/>
        <v>18272.330000000002</v>
      </c>
      <c r="J110" s="40">
        <v>18272.330000000002</v>
      </c>
      <c r="K110" s="40"/>
      <c r="L110" s="40"/>
      <c r="M110" s="41"/>
      <c r="N110" s="41"/>
      <c r="O110" s="41"/>
      <c r="P110" s="41"/>
      <c r="Q110" s="42">
        <f t="shared" si="85"/>
        <v>18272.330000000002</v>
      </c>
      <c r="R110" s="42">
        <f t="shared" si="86"/>
        <v>18272.330000000002</v>
      </c>
      <c r="S110" s="42">
        <f t="shared" si="87"/>
        <v>0</v>
      </c>
      <c r="T110" s="42">
        <f t="shared" si="88"/>
        <v>0</v>
      </c>
    </row>
    <row r="111" spans="1:20" s="44" customFormat="1" ht="36" x14ac:dyDescent="0.3">
      <c r="A111" s="24" t="s">
        <v>185</v>
      </c>
      <c r="B111" s="24" t="s">
        <v>139</v>
      </c>
      <c r="C111" s="24" t="s">
        <v>20</v>
      </c>
      <c r="D111" s="39" t="s">
        <v>140</v>
      </c>
      <c r="E111" s="40">
        <f t="shared" si="101"/>
        <v>2859375.51</v>
      </c>
      <c r="F111" s="40">
        <v>2859375.51</v>
      </c>
      <c r="G111" s="40"/>
      <c r="H111" s="40"/>
      <c r="I111" s="40">
        <f t="shared" si="105"/>
        <v>2489995.4800000004</v>
      </c>
      <c r="J111" s="40">
        <f>281851.24+48250+2159894.24</f>
        <v>2489995.4800000004</v>
      </c>
      <c r="K111" s="40"/>
      <c r="L111" s="40"/>
      <c r="M111" s="41">
        <f t="shared" si="99"/>
        <v>0.87081793604646229</v>
      </c>
      <c r="N111" s="41">
        <f t="shared" si="100"/>
        <v>0.87081793604646229</v>
      </c>
      <c r="O111" s="41"/>
      <c r="P111" s="41"/>
      <c r="Q111" s="42">
        <f t="shared" si="85"/>
        <v>-369380.02999999933</v>
      </c>
      <c r="R111" s="42">
        <f t="shared" si="86"/>
        <v>-369380.02999999933</v>
      </c>
      <c r="S111" s="42">
        <f t="shared" si="87"/>
        <v>0</v>
      </c>
      <c r="T111" s="42">
        <f t="shared" si="88"/>
        <v>0</v>
      </c>
    </row>
    <row r="112" spans="1:20" s="36" customFormat="1" ht="52.2" x14ac:dyDescent="0.3">
      <c r="A112" s="27" t="s">
        <v>99</v>
      </c>
      <c r="B112" s="27"/>
      <c r="C112" s="27"/>
      <c r="D112" s="32" t="s">
        <v>227</v>
      </c>
      <c r="E112" s="37">
        <f t="shared" ref="E112:L112" si="106">E113</f>
        <v>8491809.9199999999</v>
      </c>
      <c r="F112" s="37">
        <f t="shared" si="106"/>
        <v>8491809.9199999999</v>
      </c>
      <c r="G112" s="37">
        <f t="shared" si="106"/>
        <v>0</v>
      </c>
      <c r="H112" s="37">
        <f t="shared" si="106"/>
        <v>0</v>
      </c>
      <c r="I112" s="37">
        <f t="shared" si="106"/>
        <v>11885198.6</v>
      </c>
      <c r="J112" s="37">
        <f t="shared" si="106"/>
        <v>11093989.6</v>
      </c>
      <c r="K112" s="37">
        <f t="shared" si="106"/>
        <v>791209</v>
      </c>
      <c r="L112" s="37">
        <f t="shared" si="106"/>
        <v>790250</v>
      </c>
      <c r="M112" s="34">
        <f t="shared" si="93"/>
        <v>1.3996072347318862</v>
      </c>
      <c r="N112" s="34">
        <f t="shared" si="84"/>
        <v>1.3064340469834728</v>
      </c>
      <c r="O112" s="34"/>
      <c r="P112" s="34"/>
      <c r="Q112" s="35">
        <f t="shared" si="85"/>
        <v>3393388.6799999997</v>
      </c>
      <c r="R112" s="35">
        <f t="shared" si="86"/>
        <v>2602179.6799999997</v>
      </c>
      <c r="S112" s="35">
        <f t="shared" si="87"/>
        <v>791209</v>
      </c>
      <c r="T112" s="35">
        <f t="shared" si="88"/>
        <v>790250</v>
      </c>
    </row>
    <row r="113" spans="1:20" s="38" customFormat="1" ht="52.2" x14ac:dyDescent="0.3">
      <c r="A113" s="27" t="s">
        <v>100</v>
      </c>
      <c r="B113" s="27"/>
      <c r="C113" s="27"/>
      <c r="D113" s="32" t="s">
        <v>228</v>
      </c>
      <c r="E113" s="37">
        <f t="shared" ref="E113:E118" si="107">F113+G113</f>
        <v>8491809.9199999999</v>
      </c>
      <c r="F113" s="37">
        <f>F114+F115+F116+F118+F117</f>
        <v>8491809.9199999999</v>
      </c>
      <c r="G113" s="37">
        <f t="shared" ref="G113:H113" si="108">G114+G115+G116+G118+G117</f>
        <v>0</v>
      </c>
      <c r="H113" s="37">
        <f t="shared" si="108"/>
        <v>0</v>
      </c>
      <c r="I113" s="37">
        <f t="shared" ref="I113" si="109">J113+K113</f>
        <v>11885198.6</v>
      </c>
      <c r="J113" s="37">
        <f>J114+J115+J116+J118+J117</f>
        <v>11093989.6</v>
      </c>
      <c r="K113" s="37">
        <f t="shared" ref="K113:L113" si="110">K114+K115+K116+K118+K117</f>
        <v>791209</v>
      </c>
      <c r="L113" s="37">
        <f t="shared" si="110"/>
        <v>790250</v>
      </c>
      <c r="M113" s="34">
        <f t="shared" si="93"/>
        <v>1.3996072347318862</v>
      </c>
      <c r="N113" s="34">
        <f t="shared" si="84"/>
        <v>1.3064340469834728</v>
      </c>
      <c r="O113" s="34"/>
      <c r="P113" s="34"/>
      <c r="Q113" s="35">
        <f t="shared" si="85"/>
        <v>3393388.6799999997</v>
      </c>
      <c r="R113" s="35">
        <f t="shared" si="86"/>
        <v>2602179.6799999997</v>
      </c>
      <c r="S113" s="35">
        <f t="shared" si="87"/>
        <v>791209</v>
      </c>
      <c r="T113" s="35">
        <f t="shared" si="88"/>
        <v>790250</v>
      </c>
    </row>
    <row r="114" spans="1:20" s="44" customFormat="1" ht="54" x14ac:dyDescent="0.3">
      <c r="A114" s="24" t="s">
        <v>101</v>
      </c>
      <c r="B114" s="24" t="s">
        <v>59</v>
      </c>
      <c r="C114" s="24" t="s">
        <v>3</v>
      </c>
      <c r="D114" s="39" t="s">
        <v>254</v>
      </c>
      <c r="E114" s="40">
        <f t="shared" si="107"/>
        <v>1288227.26</v>
      </c>
      <c r="F114" s="40">
        <v>1288227.26</v>
      </c>
      <c r="G114" s="40"/>
      <c r="H114" s="40"/>
      <c r="I114" s="40">
        <f t="shared" si="105"/>
        <v>1298340.6000000001</v>
      </c>
      <c r="J114" s="40">
        <v>1297381.6000000001</v>
      </c>
      <c r="K114" s="40">
        <v>959</v>
      </c>
      <c r="L114" s="40"/>
      <c r="M114" s="41">
        <f t="shared" si="93"/>
        <v>1.0078505868599614</v>
      </c>
      <c r="N114" s="41">
        <f t="shared" si="84"/>
        <v>1.0071061529935332</v>
      </c>
      <c r="O114" s="41"/>
      <c r="P114" s="41"/>
      <c r="Q114" s="42">
        <f t="shared" si="85"/>
        <v>10113.340000000084</v>
      </c>
      <c r="R114" s="42">
        <f t="shared" si="86"/>
        <v>9154.3400000000838</v>
      </c>
      <c r="S114" s="42">
        <f t="shared" si="87"/>
        <v>959</v>
      </c>
      <c r="T114" s="42">
        <f t="shared" si="88"/>
        <v>0</v>
      </c>
    </row>
    <row r="115" spans="1:20" s="44" customFormat="1" ht="36" x14ac:dyDescent="0.3">
      <c r="A115" s="24" t="s">
        <v>111</v>
      </c>
      <c r="B115" s="24" t="s">
        <v>8</v>
      </c>
      <c r="C115" s="24" t="s">
        <v>6</v>
      </c>
      <c r="D115" s="39" t="s">
        <v>110</v>
      </c>
      <c r="E115" s="40">
        <f t="shared" si="107"/>
        <v>12416</v>
      </c>
      <c r="F115" s="40">
        <v>12416</v>
      </c>
      <c r="G115" s="40"/>
      <c r="H115" s="40"/>
      <c r="I115" s="40">
        <f t="shared" si="105"/>
        <v>36158</v>
      </c>
      <c r="J115" s="40">
        <v>36158</v>
      </c>
      <c r="K115" s="40"/>
      <c r="L115" s="40"/>
      <c r="M115" s="41">
        <f t="shared" si="93"/>
        <v>2.9122100515463916</v>
      </c>
      <c r="N115" s="41">
        <f t="shared" si="84"/>
        <v>2.9122100515463916</v>
      </c>
      <c r="O115" s="41"/>
      <c r="P115" s="41"/>
      <c r="Q115" s="42">
        <f t="shared" si="85"/>
        <v>23742</v>
      </c>
      <c r="R115" s="42">
        <f t="shared" si="86"/>
        <v>23742</v>
      </c>
      <c r="S115" s="42">
        <f t="shared" si="87"/>
        <v>0</v>
      </c>
      <c r="T115" s="42">
        <f t="shared" si="88"/>
        <v>0</v>
      </c>
    </row>
    <row r="116" spans="1:20" s="44" customFormat="1" ht="18" x14ac:dyDescent="0.3">
      <c r="A116" s="24" t="s">
        <v>113</v>
      </c>
      <c r="B116" s="24" t="s">
        <v>112</v>
      </c>
      <c r="C116" s="24" t="s">
        <v>8</v>
      </c>
      <c r="D116" s="39" t="s">
        <v>2</v>
      </c>
      <c r="E116" s="40">
        <f t="shared" si="107"/>
        <v>6419166.6600000001</v>
      </c>
      <c r="F116" s="40">
        <v>6419166.6600000001</v>
      </c>
      <c r="G116" s="40"/>
      <c r="H116" s="40"/>
      <c r="I116" s="40">
        <f t="shared" si="105"/>
        <v>2573700</v>
      </c>
      <c r="J116" s="40">
        <v>2573700</v>
      </c>
      <c r="K116" s="40"/>
      <c r="L116" s="40"/>
      <c r="M116" s="41">
        <f t="shared" ref="M116" si="111">I116/E116</f>
        <v>0.40093989396436702</v>
      </c>
      <c r="N116" s="41">
        <f t="shared" ref="N116" si="112">J116/F116</f>
        <v>0.40093989396436702</v>
      </c>
      <c r="O116" s="41"/>
      <c r="P116" s="41"/>
      <c r="Q116" s="42">
        <f t="shared" si="85"/>
        <v>-3845466.66</v>
      </c>
      <c r="R116" s="42">
        <f t="shared" si="86"/>
        <v>-3845466.66</v>
      </c>
      <c r="S116" s="42">
        <f t="shared" si="87"/>
        <v>0</v>
      </c>
      <c r="T116" s="42">
        <f t="shared" si="88"/>
        <v>0</v>
      </c>
    </row>
    <row r="117" spans="1:20" s="44" customFormat="1" ht="18" x14ac:dyDescent="0.3">
      <c r="A117" s="24" t="s">
        <v>169</v>
      </c>
      <c r="B117" s="24" t="s">
        <v>167</v>
      </c>
      <c r="C117" s="24" t="s">
        <v>8</v>
      </c>
      <c r="D117" s="63" t="s">
        <v>168</v>
      </c>
      <c r="E117" s="40">
        <f t="shared" si="107"/>
        <v>0</v>
      </c>
      <c r="F117" s="40"/>
      <c r="G117" s="40"/>
      <c r="H117" s="40"/>
      <c r="I117" s="40">
        <f t="shared" si="105"/>
        <v>1180000</v>
      </c>
      <c r="J117" s="40">
        <v>1180000</v>
      </c>
      <c r="K117" s="40"/>
      <c r="L117" s="40"/>
      <c r="M117" s="41"/>
      <c r="N117" s="41"/>
      <c r="O117" s="41"/>
      <c r="P117" s="41"/>
      <c r="Q117" s="42">
        <f t="shared" si="85"/>
        <v>1180000</v>
      </c>
      <c r="R117" s="42">
        <f t="shared" si="86"/>
        <v>1180000</v>
      </c>
      <c r="S117" s="42">
        <f t="shared" si="87"/>
        <v>0</v>
      </c>
      <c r="T117" s="42">
        <f t="shared" si="88"/>
        <v>0</v>
      </c>
    </row>
    <row r="118" spans="1:20" s="44" customFormat="1" ht="72" x14ac:dyDescent="0.3">
      <c r="A118" s="24" t="s">
        <v>165</v>
      </c>
      <c r="B118" s="24" t="s">
        <v>163</v>
      </c>
      <c r="C118" s="64" t="s">
        <v>8</v>
      </c>
      <c r="D118" s="62" t="s">
        <v>164</v>
      </c>
      <c r="E118" s="40">
        <f t="shared" si="107"/>
        <v>772000</v>
      </c>
      <c r="F118" s="40">
        <v>772000</v>
      </c>
      <c r="G118" s="40"/>
      <c r="H118" s="40"/>
      <c r="I118" s="40">
        <f t="shared" si="105"/>
        <v>6797000</v>
      </c>
      <c r="J118" s="40">
        <v>6006750</v>
      </c>
      <c r="K118" s="40">
        <v>790250</v>
      </c>
      <c r="L118" s="40">
        <f>790250</f>
        <v>790250</v>
      </c>
      <c r="M118" s="41" t="s">
        <v>289</v>
      </c>
      <c r="N118" s="41" t="s">
        <v>284</v>
      </c>
      <c r="O118" s="41"/>
      <c r="P118" s="41"/>
      <c r="Q118" s="42">
        <f t="shared" si="85"/>
        <v>6025000</v>
      </c>
      <c r="R118" s="42">
        <f t="shared" si="86"/>
        <v>5234750</v>
      </c>
      <c r="S118" s="42">
        <f t="shared" si="87"/>
        <v>790250</v>
      </c>
      <c r="T118" s="42">
        <f t="shared" si="88"/>
        <v>790250</v>
      </c>
    </row>
    <row r="119" spans="1:20" s="38" customFormat="1" ht="17.399999999999999" x14ac:dyDescent="0.3">
      <c r="A119" s="27"/>
      <c r="B119" s="27"/>
      <c r="C119" s="27"/>
      <c r="D119" s="65" t="s">
        <v>1</v>
      </c>
      <c r="E119" s="37">
        <f t="shared" ref="E119" si="113">F119+G119</f>
        <v>197506147.34999996</v>
      </c>
      <c r="F119" s="37">
        <f>F9+F33+F55+F71+F80+F87+F99+F107+F112</f>
        <v>196160122.65999997</v>
      </c>
      <c r="G119" s="37">
        <f>G9+G33+G55+G71+G80+G87+G99+G107+G112</f>
        <v>1346024.6899999997</v>
      </c>
      <c r="H119" s="37">
        <f>H9+H33+H55+H71+H80+H87+H99+H107+H112</f>
        <v>0</v>
      </c>
      <c r="I119" s="37">
        <f t="shared" si="105"/>
        <v>212980921.16999999</v>
      </c>
      <c r="J119" s="37">
        <f>J9+J33+J55+J71+J80+J87+J99+J107+J112</f>
        <v>198597843.88999999</v>
      </c>
      <c r="K119" s="37">
        <f>K9+K33+K55+K71+K80+K87+K99+K107+K112</f>
        <v>14383077.280000001</v>
      </c>
      <c r="L119" s="37">
        <f>L9+L33+L55+L71+L80+L87+L99+L107+L112</f>
        <v>10096623.73</v>
      </c>
      <c r="M119" s="34">
        <f t="shared" si="93"/>
        <v>1.078350846429996</v>
      </c>
      <c r="N119" s="34">
        <f t="shared" si="84"/>
        <v>1.0124272007834398</v>
      </c>
      <c r="O119" s="34" t="s">
        <v>290</v>
      </c>
      <c r="P119" s="34"/>
      <c r="Q119" s="35">
        <f t="shared" si="85"/>
        <v>15474773.820000023</v>
      </c>
      <c r="R119" s="35">
        <f t="shared" si="86"/>
        <v>2437721.2300000191</v>
      </c>
      <c r="S119" s="35">
        <f t="shared" si="87"/>
        <v>13037052.590000002</v>
      </c>
      <c r="T119" s="35">
        <f t="shared" si="88"/>
        <v>10096623.73</v>
      </c>
    </row>
    <row r="120" spans="1:20" s="6" customFormat="1" ht="18" x14ac:dyDescent="0.35">
      <c r="A120" s="11"/>
      <c r="B120" s="11"/>
      <c r="C120" s="11"/>
      <c r="D120" s="16"/>
      <c r="E120" s="16"/>
      <c r="F120" s="16"/>
      <c r="G120" s="16"/>
      <c r="H120" s="16"/>
      <c r="I120" s="16"/>
      <c r="J120" s="7"/>
      <c r="K120" s="17"/>
      <c r="L120" s="17"/>
      <c r="M120" s="7"/>
      <c r="N120" s="17"/>
      <c r="O120" s="17"/>
      <c r="P120" s="17"/>
      <c r="Q120" s="7"/>
      <c r="R120" s="7"/>
      <c r="S120" s="7"/>
      <c r="T120" s="7"/>
    </row>
    <row r="121" spans="1:20" s="7" customFormat="1" ht="18" x14ac:dyDescent="0.35">
      <c r="D121" s="7" t="s">
        <v>192</v>
      </c>
      <c r="E121" s="11"/>
      <c r="F121" s="11"/>
      <c r="G121" s="18"/>
      <c r="H121" s="16"/>
      <c r="J121" s="22"/>
      <c r="K121" s="17" t="s">
        <v>232</v>
      </c>
      <c r="L121" s="23"/>
      <c r="M121" s="16"/>
      <c r="N121" s="17"/>
      <c r="O121" s="17"/>
      <c r="P121" s="17"/>
    </row>
    <row r="122" spans="1:20" s="20" customFormat="1" ht="15.6" x14ac:dyDescent="0.3">
      <c r="A122" s="9"/>
      <c r="B122" s="9"/>
      <c r="C122" s="9"/>
      <c r="E122" s="10"/>
      <c r="F122" s="10"/>
      <c r="G122" s="15"/>
      <c r="J122" s="15"/>
      <c r="K122" s="14"/>
    </row>
    <row r="126" spans="1:20" x14ac:dyDescent="0.3">
      <c r="H126" s="19"/>
    </row>
    <row r="127" spans="1:20" x14ac:dyDescent="0.3">
      <c r="H127" s="19"/>
    </row>
    <row r="128" spans="1:20" x14ac:dyDescent="0.3">
      <c r="H128" s="19"/>
    </row>
  </sheetData>
  <mergeCells count="29">
    <mergeCell ref="A2:T2"/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Q3:T3"/>
    <mergeCell ref="Q4:Q7"/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</mergeCells>
  <pageMargins left="0.35433070866141736" right="0.15748031496062992" top="0.15748031496062992" bottom="0.11811023622047245" header="0.15748031496062992" footer="0.11811023622047245"/>
  <pageSetup paperSize="9" scale="36" fitToHeight="7" orientation="landscape" r:id="rId1"/>
  <rowBreaks count="2" manualBreakCount="2">
    <brk id="69" max="19" man="1"/>
    <brk id="92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рік</vt:lpstr>
      <vt:lpstr>рік!Заголовки_для_друку</vt:lpstr>
      <vt:lpstr>рік!Область_друку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2023-04-24T08:58:02Z</cp:lastPrinted>
  <dcterms:created xsi:type="dcterms:W3CDTF">2012-12-15T07:44:03Z</dcterms:created>
  <dcterms:modified xsi:type="dcterms:W3CDTF">2023-04-25T15:02:01Z</dcterms:modified>
</cp:coreProperties>
</file>