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05" yWindow="-105" windowWidth="20730" windowHeight="11760" tabRatio="592" activeTab="1"/>
  </bookViews>
  <sheets>
    <sheet name="Лист1" sheetId="44" r:id="rId1"/>
    <sheet name="отг (ПРАВИЛЬНА копія)" sheetId="43" r:id="rId2"/>
    <sheet name="отг" sheetId="42" r:id="rId3"/>
  </sheets>
  <definedNames>
    <definedName name="_xlnm.Print_Titles" localSheetId="2">отг!$5:$6</definedName>
    <definedName name="_xlnm.Print_Titles" localSheetId="1">'отг (ПРАВИЛЬНА копія)'!$5:$6</definedName>
    <definedName name="_xlnm.Print_Area" localSheetId="2">отг!$A$1:$J$319</definedName>
    <definedName name="_xlnm.Print_Area" localSheetId="1">'отг (ПРАВИЛЬНА копія)'!$A$1:$J$321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44"/>
  <c r="E18"/>
  <c r="S10"/>
  <c r="B16"/>
  <c r="Q9"/>
  <c r="P9"/>
  <c r="L9"/>
  <c r="K9"/>
  <c r="C9"/>
  <c r="F9" s="1"/>
  <c r="B9"/>
  <c r="E296" i="43"/>
  <c r="E316" s="1"/>
  <c r="E162"/>
  <c r="E301"/>
  <c r="E303"/>
  <c r="E308"/>
  <c r="E313"/>
  <c r="E318"/>
  <c r="D318"/>
  <c r="C318"/>
  <c r="D313"/>
  <c r="C313"/>
  <c r="D308"/>
  <c r="C308"/>
  <c r="C303"/>
  <c r="C301"/>
  <c r="C298"/>
  <c r="C297"/>
  <c r="E235"/>
  <c r="E237"/>
  <c r="E284"/>
  <c r="E228" s="1"/>
  <c r="H177"/>
  <c r="G177"/>
  <c r="F177"/>
  <c r="H178"/>
  <c r="G178"/>
  <c r="F178"/>
  <c r="E149"/>
  <c r="D149"/>
  <c r="C159"/>
  <c r="D159"/>
  <c r="C155"/>
  <c r="D146"/>
  <c r="C146"/>
  <c r="C144" s="1"/>
  <c r="C149"/>
  <c r="D144"/>
  <c r="C135"/>
  <c r="C133"/>
  <c r="C162" s="1"/>
  <c r="C163" s="1"/>
  <c r="C140"/>
  <c r="F90"/>
  <c r="C229"/>
  <c r="F193"/>
  <c r="H29"/>
  <c r="G29"/>
  <c r="F29"/>
  <c r="E28"/>
  <c r="J28" s="1"/>
  <c r="D28"/>
  <c r="G28" s="1"/>
  <c r="C28"/>
  <c r="F28" s="1"/>
  <c r="K318"/>
  <c r="J318"/>
  <c r="H318"/>
  <c r="G318"/>
  <c r="F318"/>
  <c r="G317"/>
  <c r="I314"/>
  <c r="K314"/>
  <c r="G314"/>
  <c r="F314"/>
  <c r="I313"/>
  <c r="I312"/>
  <c r="E312"/>
  <c r="D312"/>
  <c r="G312" s="1"/>
  <c r="C312"/>
  <c r="F312" s="1"/>
  <c r="I310"/>
  <c r="D310"/>
  <c r="G309"/>
  <c r="F309"/>
  <c r="I308"/>
  <c r="I306"/>
  <c r="J306" s="1"/>
  <c r="G291"/>
  <c r="K290"/>
  <c r="I290"/>
  <c r="I315" s="1"/>
  <c r="E290"/>
  <c r="E315" s="1"/>
  <c r="D290"/>
  <c r="D315" s="1"/>
  <c r="G315" s="1"/>
  <c r="C290"/>
  <c r="C315" s="1"/>
  <c r="K289"/>
  <c r="J289"/>
  <c r="J290" s="1"/>
  <c r="H289"/>
  <c r="H290" s="1"/>
  <c r="G289"/>
  <c r="G290" s="1"/>
  <c r="F289"/>
  <c r="F290" s="1"/>
  <c r="G288"/>
  <c r="K287"/>
  <c r="J287"/>
  <c r="H287"/>
  <c r="G287"/>
  <c r="F287"/>
  <c r="K285"/>
  <c r="J285"/>
  <c r="H285"/>
  <c r="G285"/>
  <c r="F285"/>
  <c r="K283"/>
  <c r="J283"/>
  <c r="H283"/>
  <c r="G283"/>
  <c r="F283"/>
  <c r="K282"/>
  <c r="J282"/>
  <c r="H282"/>
  <c r="G282"/>
  <c r="F282"/>
  <c r="J281"/>
  <c r="I281"/>
  <c r="I309" s="1"/>
  <c r="F281"/>
  <c r="E281"/>
  <c r="E309" s="1"/>
  <c r="D281"/>
  <c r="C281"/>
  <c r="H280"/>
  <c r="G280"/>
  <c r="F280"/>
  <c r="K279"/>
  <c r="J279"/>
  <c r="H279"/>
  <c r="G279"/>
  <c r="F279"/>
  <c r="K278"/>
  <c r="J278"/>
  <c r="H278"/>
  <c r="G278"/>
  <c r="F278"/>
  <c r="J277"/>
  <c r="I277"/>
  <c r="F277"/>
  <c r="E277"/>
  <c r="K277" s="1"/>
  <c r="D277"/>
  <c r="G277" s="1"/>
  <c r="C277"/>
  <c r="K276"/>
  <c r="J276"/>
  <c r="H276"/>
  <c r="G276"/>
  <c r="F276"/>
  <c r="J275"/>
  <c r="I275"/>
  <c r="F275"/>
  <c r="E275"/>
  <c r="K275" s="1"/>
  <c r="D275"/>
  <c r="G275" s="1"/>
  <c r="C275"/>
  <c r="K274"/>
  <c r="J274"/>
  <c r="H274"/>
  <c r="G274"/>
  <c r="F274"/>
  <c r="K273"/>
  <c r="J273"/>
  <c r="H273"/>
  <c r="G273"/>
  <c r="F273"/>
  <c r="K272"/>
  <c r="J272"/>
  <c r="H272"/>
  <c r="G272"/>
  <c r="F272"/>
  <c r="K270"/>
  <c r="J270"/>
  <c r="H270"/>
  <c r="G270"/>
  <c r="F270"/>
  <c r="K269"/>
  <c r="J269"/>
  <c r="H269"/>
  <c r="G269"/>
  <c r="F269"/>
  <c r="K268"/>
  <c r="J268"/>
  <c r="H268"/>
  <c r="G268"/>
  <c r="F268"/>
  <c r="I267"/>
  <c r="G267"/>
  <c r="E267"/>
  <c r="J267" s="1"/>
  <c r="D267"/>
  <c r="C267"/>
  <c r="F267" s="1"/>
  <c r="K266"/>
  <c r="J266"/>
  <c r="H266"/>
  <c r="G266"/>
  <c r="F266"/>
  <c r="I265"/>
  <c r="E265"/>
  <c r="J265" s="1"/>
  <c r="D265"/>
  <c r="C265"/>
  <c r="F265" s="1"/>
  <c r="K264"/>
  <c r="J264"/>
  <c r="H264"/>
  <c r="G264"/>
  <c r="F264"/>
  <c r="K263"/>
  <c r="J263"/>
  <c r="H263"/>
  <c r="G263"/>
  <c r="F263"/>
  <c r="K262"/>
  <c r="J262"/>
  <c r="H262"/>
  <c r="G262"/>
  <c r="F262"/>
  <c r="I261"/>
  <c r="G261"/>
  <c r="E261"/>
  <c r="J261" s="1"/>
  <c r="D261"/>
  <c r="C261"/>
  <c r="F261" s="1"/>
  <c r="K260"/>
  <c r="J260"/>
  <c r="H260"/>
  <c r="G260"/>
  <c r="F260"/>
  <c r="G259"/>
  <c r="F259"/>
  <c r="I258"/>
  <c r="G258"/>
  <c r="E258"/>
  <c r="J258" s="1"/>
  <c r="D258"/>
  <c r="C258"/>
  <c r="F258" s="1"/>
  <c r="K257"/>
  <c r="J257"/>
  <c r="H257"/>
  <c r="G257"/>
  <c r="F257"/>
  <c r="K256"/>
  <c r="J256"/>
  <c r="H256"/>
  <c r="G256"/>
  <c r="F256"/>
  <c r="K255"/>
  <c r="J255"/>
  <c r="H255"/>
  <c r="G255"/>
  <c r="F255"/>
  <c r="K254"/>
  <c r="J254"/>
  <c r="H254"/>
  <c r="G254"/>
  <c r="F254"/>
  <c r="J253"/>
  <c r="I253"/>
  <c r="F253"/>
  <c r="E253"/>
  <c r="K253" s="1"/>
  <c r="D253"/>
  <c r="G253" s="1"/>
  <c r="C253"/>
  <c r="K252"/>
  <c r="J252"/>
  <c r="H252"/>
  <c r="G252"/>
  <c r="F252"/>
  <c r="K251"/>
  <c r="J251"/>
  <c r="H251"/>
  <c r="G251"/>
  <c r="F251"/>
  <c r="K250"/>
  <c r="J250"/>
  <c r="H250"/>
  <c r="G250"/>
  <c r="F250"/>
  <c r="J249"/>
  <c r="I249"/>
  <c r="F249"/>
  <c r="E249"/>
  <c r="K249" s="1"/>
  <c r="D249"/>
  <c r="G249" s="1"/>
  <c r="C249"/>
  <c r="K248"/>
  <c r="J248"/>
  <c r="H248"/>
  <c r="G248"/>
  <c r="F248"/>
  <c r="J246"/>
  <c r="I246"/>
  <c r="F246"/>
  <c r="E246"/>
  <c r="K246" s="1"/>
  <c r="D246"/>
  <c r="G246" s="1"/>
  <c r="C246"/>
  <c r="K245"/>
  <c r="J245"/>
  <c r="H245"/>
  <c r="G245"/>
  <c r="F245"/>
  <c r="K244"/>
  <c r="J244"/>
  <c r="H244"/>
  <c r="G244"/>
  <c r="F244"/>
  <c r="K243"/>
  <c r="F243"/>
  <c r="E243"/>
  <c r="J243" s="1"/>
  <c r="D243"/>
  <c r="G243" s="1"/>
  <c r="C243"/>
  <c r="H242"/>
  <c r="G242"/>
  <c r="F242"/>
  <c r="H241"/>
  <c r="G241"/>
  <c r="F241"/>
  <c r="H240"/>
  <c r="G240"/>
  <c r="F240"/>
  <c r="H239"/>
  <c r="G239"/>
  <c r="F239"/>
  <c r="H238"/>
  <c r="G238"/>
  <c r="F238"/>
  <c r="K237"/>
  <c r="D237"/>
  <c r="C237"/>
  <c r="F237" s="1"/>
  <c r="K236"/>
  <c r="J236"/>
  <c r="H236"/>
  <c r="G236"/>
  <c r="F236"/>
  <c r="I235"/>
  <c r="D235"/>
  <c r="C235"/>
  <c r="K234"/>
  <c r="J234"/>
  <c r="G234"/>
  <c r="F234"/>
  <c r="K233"/>
  <c r="J233"/>
  <c r="H233"/>
  <c r="G233"/>
  <c r="F233"/>
  <c r="K232"/>
  <c r="J232"/>
  <c r="H232"/>
  <c r="G232"/>
  <c r="F232"/>
  <c r="K231"/>
  <c r="J231"/>
  <c r="H231"/>
  <c r="G231"/>
  <c r="F231"/>
  <c r="K230"/>
  <c r="J230"/>
  <c r="H230"/>
  <c r="G230"/>
  <c r="F230"/>
  <c r="I229"/>
  <c r="I284" s="1"/>
  <c r="I286" s="1"/>
  <c r="E229"/>
  <c r="D229"/>
  <c r="H226"/>
  <c r="G226"/>
  <c r="F226"/>
  <c r="F222"/>
  <c r="E222"/>
  <c r="D222"/>
  <c r="C222"/>
  <c r="H221"/>
  <c r="H220"/>
  <c r="H219"/>
  <c r="H218"/>
  <c r="E217"/>
  <c r="D217"/>
  <c r="H217" s="1"/>
  <c r="C217"/>
  <c r="H216"/>
  <c r="H215"/>
  <c r="K214"/>
  <c r="J214"/>
  <c r="H214"/>
  <c r="J213"/>
  <c r="I213"/>
  <c r="E213"/>
  <c r="K213" s="1"/>
  <c r="D213"/>
  <c r="D212" s="1"/>
  <c r="D208" s="1"/>
  <c r="C213"/>
  <c r="I212"/>
  <c r="I208" s="1"/>
  <c r="E212"/>
  <c r="J212" s="1"/>
  <c r="C212"/>
  <c r="C208" s="1"/>
  <c r="E210"/>
  <c r="D210"/>
  <c r="D209" s="1"/>
  <c r="C210"/>
  <c r="E209"/>
  <c r="C209"/>
  <c r="K207"/>
  <c r="J207"/>
  <c r="H207"/>
  <c r="G207"/>
  <c r="F207"/>
  <c r="H206"/>
  <c r="I205"/>
  <c r="E205"/>
  <c r="J205" s="1"/>
  <c r="D205"/>
  <c r="C205"/>
  <c r="K204"/>
  <c r="J204"/>
  <c r="H204"/>
  <c r="G204"/>
  <c r="F204"/>
  <c r="K203"/>
  <c r="J203"/>
  <c r="H203"/>
  <c r="G203"/>
  <c r="F203"/>
  <c r="K202"/>
  <c r="J202"/>
  <c r="H202"/>
  <c r="G202"/>
  <c r="F202"/>
  <c r="K201"/>
  <c r="J201"/>
  <c r="H201"/>
  <c r="G201"/>
  <c r="F201"/>
  <c r="I200"/>
  <c r="E200"/>
  <c r="K200" s="1"/>
  <c r="D200"/>
  <c r="C200"/>
  <c r="I199"/>
  <c r="E199"/>
  <c r="J199" s="1"/>
  <c r="C199"/>
  <c r="K198"/>
  <c r="J198"/>
  <c r="H198"/>
  <c r="G198"/>
  <c r="F198"/>
  <c r="I197"/>
  <c r="G197"/>
  <c r="E197"/>
  <c r="J197" s="1"/>
  <c r="D197"/>
  <c r="C197"/>
  <c r="F197" s="1"/>
  <c r="K196"/>
  <c r="J196"/>
  <c r="H196"/>
  <c r="G196"/>
  <c r="F196"/>
  <c r="I195"/>
  <c r="I226" s="1"/>
  <c r="G195"/>
  <c r="E195"/>
  <c r="J195" s="1"/>
  <c r="D195"/>
  <c r="C195"/>
  <c r="F195" s="1"/>
  <c r="H194"/>
  <c r="K193"/>
  <c r="J193"/>
  <c r="H193"/>
  <c r="G193"/>
  <c r="I192"/>
  <c r="E192"/>
  <c r="K192" s="1"/>
  <c r="D192"/>
  <c r="C192"/>
  <c r="I191"/>
  <c r="E191"/>
  <c r="J191" s="1"/>
  <c r="C191"/>
  <c r="H190"/>
  <c r="H189"/>
  <c r="H188"/>
  <c r="I187"/>
  <c r="E187"/>
  <c r="J187" s="1"/>
  <c r="C187"/>
  <c r="K186"/>
  <c r="J186"/>
  <c r="H186"/>
  <c r="G186"/>
  <c r="F186"/>
  <c r="K185"/>
  <c r="J185"/>
  <c r="H185"/>
  <c r="G185"/>
  <c r="F185"/>
  <c r="K184"/>
  <c r="J184"/>
  <c r="H184"/>
  <c r="G184"/>
  <c r="F184"/>
  <c r="I183"/>
  <c r="I182" s="1"/>
  <c r="E183"/>
  <c r="K183" s="1"/>
  <c r="D183"/>
  <c r="C183"/>
  <c r="D182"/>
  <c r="I181"/>
  <c r="K177"/>
  <c r="J177"/>
  <c r="K176"/>
  <c r="J176"/>
  <c r="H176"/>
  <c r="G176"/>
  <c r="F176"/>
  <c r="K175"/>
  <c r="J175"/>
  <c r="H175"/>
  <c r="G175"/>
  <c r="F175"/>
  <c r="K174"/>
  <c r="J174"/>
  <c r="H174"/>
  <c r="G174"/>
  <c r="F174"/>
  <c r="K173"/>
  <c r="J173"/>
  <c r="H173"/>
  <c r="G173"/>
  <c r="F173"/>
  <c r="K172"/>
  <c r="J172"/>
  <c r="H172"/>
  <c r="G172"/>
  <c r="F172"/>
  <c r="K171"/>
  <c r="J171"/>
  <c r="H171"/>
  <c r="G171"/>
  <c r="F171"/>
  <c r="I170"/>
  <c r="E170"/>
  <c r="K170" s="1"/>
  <c r="D170"/>
  <c r="C170"/>
  <c r="F170" s="1"/>
  <c r="K169"/>
  <c r="J169"/>
  <c r="H169"/>
  <c r="G169"/>
  <c r="F169"/>
  <c r="K168"/>
  <c r="J168"/>
  <c r="H168"/>
  <c r="G168"/>
  <c r="F168"/>
  <c r="K167"/>
  <c r="J167"/>
  <c r="H167"/>
  <c r="G167"/>
  <c r="F167"/>
  <c r="K166"/>
  <c r="J166"/>
  <c r="H166"/>
  <c r="G166"/>
  <c r="F166"/>
  <c r="I165"/>
  <c r="E165"/>
  <c r="K165" s="1"/>
  <c r="D165"/>
  <c r="G165" s="1"/>
  <c r="C165"/>
  <c r="F165" s="1"/>
  <c r="H161"/>
  <c r="H159" s="1"/>
  <c r="G161"/>
  <c r="F161"/>
  <c r="F159" s="1"/>
  <c r="G159"/>
  <c r="E159"/>
  <c r="F313"/>
  <c r="H158"/>
  <c r="G158"/>
  <c r="F158"/>
  <c r="F157"/>
  <c r="E157"/>
  <c r="D157"/>
  <c r="H157" s="1"/>
  <c r="C157"/>
  <c r="H156"/>
  <c r="H155" s="1"/>
  <c r="G156"/>
  <c r="F156"/>
  <c r="F155" s="1"/>
  <c r="G155"/>
  <c r="E155"/>
  <c r="H154"/>
  <c r="G154"/>
  <c r="F154"/>
  <c r="H153"/>
  <c r="G153"/>
  <c r="F153"/>
  <c r="K152"/>
  <c r="J152"/>
  <c r="H152"/>
  <c r="G152"/>
  <c r="F152"/>
  <c r="K151"/>
  <c r="J151"/>
  <c r="H151"/>
  <c r="G151"/>
  <c r="F151"/>
  <c r="K150"/>
  <c r="J150"/>
  <c r="H150"/>
  <c r="G150"/>
  <c r="F150"/>
  <c r="K149"/>
  <c r="J149"/>
  <c r="H149"/>
  <c r="G149"/>
  <c r="F149"/>
  <c r="K148"/>
  <c r="J148"/>
  <c r="H148"/>
  <c r="G148"/>
  <c r="F148"/>
  <c r="I147"/>
  <c r="I311" s="1"/>
  <c r="E147"/>
  <c r="E146" s="1"/>
  <c r="D311"/>
  <c r="K145"/>
  <c r="J145"/>
  <c r="H145"/>
  <c r="G145"/>
  <c r="F145"/>
  <c r="H142"/>
  <c r="G142"/>
  <c r="F142"/>
  <c r="K141"/>
  <c r="J141"/>
  <c r="H141"/>
  <c r="G141"/>
  <c r="F141"/>
  <c r="I140"/>
  <c r="I307" s="1"/>
  <c r="E140"/>
  <c r="K140" s="1"/>
  <c r="D140"/>
  <c r="H139"/>
  <c r="G139"/>
  <c r="F139"/>
  <c r="K138"/>
  <c r="J138"/>
  <c r="H138"/>
  <c r="G138"/>
  <c r="F138"/>
  <c r="K137"/>
  <c r="J137"/>
  <c r="H137"/>
  <c r="G137"/>
  <c r="F137"/>
  <c r="K136"/>
  <c r="J136"/>
  <c r="H136"/>
  <c r="G136"/>
  <c r="F136"/>
  <c r="I135"/>
  <c r="I305" s="1"/>
  <c r="E135"/>
  <c r="K135" s="1"/>
  <c r="D135"/>
  <c r="G135" s="1"/>
  <c r="F135"/>
  <c r="K134"/>
  <c r="J134"/>
  <c r="H134"/>
  <c r="G134"/>
  <c r="F134"/>
  <c r="I133"/>
  <c r="I304" s="1"/>
  <c r="E133"/>
  <c r="K132"/>
  <c r="J132"/>
  <c r="H132"/>
  <c r="G132"/>
  <c r="F132"/>
  <c r="K131"/>
  <c r="J131"/>
  <c r="H131"/>
  <c r="G131"/>
  <c r="F131"/>
  <c r="K130"/>
  <c r="J130"/>
  <c r="H130"/>
  <c r="G130"/>
  <c r="F130"/>
  <c r="H129"/>
  <c r="G129"/>
  <c r="F129"/>
  <c r="K128"/>
  <c r="J128"/>
  <c r="H128"/>
  <c r="G128"/>
  <c r="F128"/>
  <c r="I127"/>
  <c r="I303" s="1"/>
  <c r="E127"/>
  <c r="D127"/>
  <c r="D303" s="1"/>
  <c r="C127"/>
  <c r="K126"/>
  <c r="J126"/>
  <c r="H126"/>
  <c r="G126"/>
  <c r="F126"/>
  <c r="K125"/>
  <c r="J125"/>
  <c r="H125"/>
  <c r="G125"/>
  <c r="F125"/>
  <c r="J124"/>
  <c r="I124"/>
  <c r="I302" s="1"/>
  <c r="F124"/>
  <c r="E124"/>
  <c r="E302" s="1"/>
  <c r="D124"/>
  <c r="C124"/>
  <c r="C302" s="1"/>
  <c r="F302" s="1"/>
  <c r="K123"/>
  <c r="J123"/>
  <c r="H123"/>
  <c r="G123"/>
  <c r="F123"/>
  <c r="K122"/>
  <c r="J122"/>
  <c r="H122"/>
  <c r="G122"/>
  <c r="F122"/>
  <c r="K121"/>
  <c r="J121"/>
  <c r="H121"/>
  <c r="G121"/>
  <c r="F121"/>
  <c r="I120"/>
  <c r="I301" s="1"/>
  <c r="E120"/>
  <c r="K120" s="1"/>
  <c r="D120"/>
  <c r="C120"/>
  <c r="K119"/>
  <c r="J119"/>
  <c r="H119"/>
  <c r="G119"/>
  <c r="F119"/>
  <c r="K118"/>
  <c r="J118"/>
  <c r="H118"/>
  <c r="G118"/>
  <c r="F118"/>
  <c r="K117"/>
  <c r="J117"/>
  <c r="H117"/>
  <c r="G117"/>
  <c r="F117"/>
  <c r="K116"/>
  <c r="J116"/>
  <c r="H116"/>
  <c r="G116"/>
  <c r="F116"/>
  <c r="H115"/>
  <c r="G115"/>
  <c r="F115"/>
  <c r="H114"/>
  <c r="G114"/>
  <c r="F114"/>
  <c r="I113"/>
  <c r="I300" s="1"/>
  <c r="E113"/>
  <c r="K113" s="1"/>
  <c r="D113"/>
  <c r="D300" s="1"/>
  <c r="C113"/>
  <c r="K112"/>
  <c r="J112"/>
  <c r="H112"/>
  <c r="G112"/>
  <c r="F112"/>
  <c r="I111"/>
  <c r="I299" s="1"/>
  <c r="E111"/>
  <c r="D111"/>
  <c r="D299" s="1"/>
  <c r="C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E102"/>
  <c r="D102"/>
  <c r="C102"/>
  <c r="H101"/>
  <c r="G101"/>
  <c r="F101"/>
  <c r="E100"/>
  <c r="J100" s="1"/>
  <c r="D100"/>
  <c r="C100"/>
  <c r="K99"/>
  <c r="J99"/>
  <c r="H99"/>
  <c r="G99"/>
  <c r="F99"/>
  <c r="I98"/>
  <c r="I298" s="1"/>
  <c r="K97"/>
  <c r="J97"/>
  <c r="H97"/>
  <c r="G97"/>
  <c r="F97"/>
  <c r="K96"/>
  <c r="J96"/>
  <c r="H96"/>
  <c r="G96"/>
  <c r="F96"/>
  <c r="K95"/>
  <c r="J95"/>
  <c r="H95"/>
  <c r="G95"/>
  <c r="G93" s="1"/>
  <c r="F95"/>
  <c r="K94"/>
  <c r="J94"/>
  <c r="H94"/>
  <c r="G94"/>
  <c r="F94"/>
  <c r="I93"/>
  <c r="E93"/>
  <c r="D93"/>
  <c r="C93"/>
  <c r="H89"/>
  <c r="G89"/>
  <c r="H88"/>
  <c r="G88"/>
  <c r="F88"/>
  <c r="K87"/>
  <c r="J87"/>
  <c r="H87"/>
  <c r="G87"/>
  <c r="F87"/>
  <c r="I86"/>
  <c r="E86"/>
  <c r="K86" s="1"/>
  <c r="D86"/>
  <c r="G86" s="1"/>
  <c r="C86"/>
  <c r="F86" s="1"/>
  <c r="H85"/>
  <c r="G85"/>
  <c r="F85"/>
  <c r="E84"/>
  <c r="H84" s="1"/>
  <c r="D84"/>
  <c r="C84"/>
  <c r="F84" s="1"/>
  <c r="H83"/>
  <c r="G83"/>
  <c r="F83"/>
  <c r="K82"/>
  <c r="J82"/>
  <c r="H82"/>
  <c r="G82"/>
  <c r="F82"/>
  <c r="H81"/>
  <c r="E80"/>
  <c r="D80"/>
  <c r="G80" s="1"/>
  <c r="C80"/>
  <c r="F80" s="1"/>
  <c r="H79"/>
  <c r="G79"/>
  <c r="F79"/>
  <c r="K78"/>
  <c r="J78"/>
  <c r="H78"/>
  <c r="G78"/>
  <c r="F78"/>
  <c r="K77"/>
  <c r="J77"/>
  <c r="H77"/>
  <c r="G77"/>
  <c r="F77"/>
  <c r="I76"/>
  <c r="F76"/>
  <c r="E76"/>
  <c r="K76" s="1"/>
  <c r="D76"/>
  <c r="G76" s="1"/>
  <c r="C76"/>
  <c r="I75"/>
  <c r="I74" s="1"/>
  <c r="I295" s="1"/>
  <c r="E75"/>
  <c r="J75" s="1"/>
  <c r="K72"/>
  <c r="J72"/>
  <c r="H72"/>
  <c r="G72"/>
  <c r="F72"/>
  <c r="K71"/>
  <c r="J71"/>
  <c r="H71"/>
  <c r="F71"/>
  <c r="I70"/>
  <c r="K70" s="1"/>
  <c r="E70"/>
  <c r="J70" s="1"/>
  <c r="D70"/>
  <c r="G70" s="1"/>
  <c r="C70"/>
  <c r="I69"/>
  <c r="E69"/>
  <c r="H69" s="1"/>
  <c r="D69"/>
  <c r="G69" s="1"/>
  <c r="C69"/>
  <c r="H68"/>
  <c r="G68"/>
  <c r="E67"/>
  <c r="H67" s="1"/>
  <c r="D67"/>
  <c r="G67" s="1"/>
  <c r="C67"/>
  <c r="K66"/>
  <c r="J66"/>
  <c r="H66"/>
  <c r="G66"/>
  <c r="H65"/>
  <c r="K64"/>
  <c r="J64"/>
  <c r="H64"/>
  <c r="G64"/>
  <c r="F64"/>
  <c r="K63"/>
  <c r="J63"/>
  <c r="H63"/>
  <c r="G63"/>
  <c r="F63"/>
  <c r="I62"/>
  <c r="E62"/>
  <c r="J62" s="1"/>
  <c r="D62"/>
  <c r="C62"/>
  <c r="F62" s="1"/>
  <c r="K61"/>
  <c r="J61"/>
  <c r="H61"/>
  <c r="G61"/>
  <c r="F61"/>
  <c r="I60"/>
  <c r="G60"/>
  <c r="E60"/>
  <c r="J60" s="1"/>
  <c r="D60"/>
  <c r="C60"/>
  <c r="F60" s="1"/>
  <c r="H59"/>
  <c r="K58"/>
  <c r="J58"/>
  <c r="H58"/>
  <c r="G58"/>
  <c r="F58"/>
  <c r="K57"/>
  <c r="J57"/>
  <c r="H57"/>
  <c r="G57"/>
  <c r="F57"/>
  <c r="K56"/>
  <c r="J56"/>
  <c r="H56"/>
  <c r="G56"/>
  <c r="F56"/>
  <c r="K55"/>
  <c r="J55"/>
  <c r="H55"/>
  <c r="G55"/>
  <c r="F55"/>
  <c r="I54"/>
  <c r="I53" s="1"/>
  <c r="E54"/>
  <c r="J54" s="1"/>
  <c r="D54"/>
  <c r="C54"/>
  <c r="F54" s="1"/>
  <c r="D53"/>
  <c r="K52"/>
  <c r="J52"/>
  <c r="H52"/>
  <c r="G52"/>
  <c r="F52"/>
  <c r="K51"/>
  <c r="J51"/>
  <c r="H51"/>
  <c r="G51"/>
  <c r="F51"/>
  <c r="I50"/>
  <c r="E50"/>
  <c r="J50" s="1"/>
  <c r="D50"/>
  <c r="G50" s="1"/>
  <c r="C50"/>
  <c r="F50" s="1"/>
  <c r="K49"/>
  <c r="J49"/>
  <c r="H49"/>
  <c r="G49"/>
  <c r="F49"/>
  <c r="I48"/>
  <c r="J48" s="1"/>
  <c r="H48"/>
  <c r="G48"/>
  <c r="F48"/>
  <c r="I47"/>
  <c r="I46" s="1"/>
  <c r="E47"/>
  <c r="J47" s="1"/>
  <c r="D47"/>
  <c r="G47" s="1"/>
  <c r="C47"/>
  <c r="F47" s="1"/>
  <c r="K45"/>
  <c r="J45"/>
  <c r="H45"/>
  <c r="G45"/>
  <c r="F45"/>
  <c r="K44"/>
  <c r="J44"/>
  <c r="H44"/>
  <c r="G44"/>
  <c r="F44"/>
  <c r="K43"/>
  <c r="J43"/>
  <c r="H43"/>
  <c r="G43"/>
  <c r="F43"/>
  <c r="I42"/>
  <c r="E42"/>
  <c r="K42" s="1"/>
  <c r="D42"/>
  <c r="C42"/>
  <c r="K41"/>
  <c r="J41"/>
  <c r="H41"/>
  <c r="G41"/>
  <c r="F41"/>
  <c r="K40"/>
  <c r="J40"/>
  <c r="H40"/>
  <c r="G40"/>
  <c r="F40"/>
  <c r="K39"/>
  <c r="J39"/>
  <c r="H39"/>
  <c r="G39"/>
  <c r="F39"/>
  <c r="K38"/>
  <c r="J38"/>
  <c r="H38"/>
  <c r="G38"/>
  <c r="F38"/>
  <c r="K37"/>
  <c r="J37"/>
  <c r="H37"/>
  <c r="G37"/>
  <c r="F37"/>
  <c r="K36"/>
  <c r="J36"/>
  <c r="H36"/>
  <c r="G36"/>
  <c r="F36"/>
  <c r="K35"/>
  <c r="J35"/>
  <c r="H35"/>
  <c r="G35"/>
  <c r="F35"/>
  <c r="K34"/>
  <c r="J34"/>
  <c r="H34"/>
  <c r="G34"/>
  <c r="F34"/>
  <c r="J33"/>
  <c r="H33"/>
  <c r="G33"/>
  <c r="F33"/>
  <c r="I32"/>
  <c r="I31" s="1"/>
  <c r="E32"/>
  <c r="J32" s="1"/>
  <c r="D32"/>
  <c r="C32"/>
  <c r="D31"/>
  <c r="K30"/>
  <c r="J30"/>
  <c r="H30"/>
  <c r="G30"/>
  <c r="F30"/>
  <c r="I28"/>
  <c r="K27"/>
  <c r="J27"/>
  <c r="H27"/>
  <c r="G27"/>
  <c r="F27"/>
  <c r="I26"/>
  <c r="E26"/>
  <c r="K26" s="1"/>
  <c r="D26"/>
  <c r="C26"/>
  <c r="K25"/>
  <c r="J25"/>
  <c r="H25"/>
  <c r="G25"/>
  <c r="F25"/>
  <c r="J24"/>
  <c r="I24"/>
  <c r="F24"/>
  <c r="E24"/>
  <c r="K24" s="1"/>
  <c r="D24"/>
  <c r="G24" s="1"/>
  <c r="C24"/>
  <c r="I23"/>
  <c r="K22"/>
  <c r="J22"/>
  <c r="H22"/>
  <c r="G22"/>
  <c r="F22"/>
  <c r="I21"/>
  <c r="E21"/>
  <c r="J21" s="1"/>
  <c r="D21"/>
  <c r="C21"/>
  <c r="F21" s="1"/>
  <c r="K20"/>
  <c r="J20"/>
  <c r="H20"/>
  <c r="G20"/>
  <c r="F20"/>
  <c r="H19"/>
  <c r="G19"/>
  <c r="F19"/>
  <c r="J18"/>
  <c r="I18"/>
  <c r="F18"/>
  <c r="E18"/>
  <c r="K18" s="1"/>
  <c r="D18"/>
  <c r="G18" s="1"/>
  <c r="C18"/>
  <c r="I17"/>
  <c r="E17"/>
  <c r="J17" s="1"/>
  <c r="C17"/>
  <c r="F17" s="1"/>
  <c r="K16"/>
  <c r="J16"/>
  <c r="H16"/>
  <c r="G16"/>
  <c r="F16"/>
  <c r="J15"/>
  <c r="I15"/>
  <c r="F15"/>
  <c r="E15"/>
  <c r="D15"/>
  <c r="G15" s="1"/>
  <c r="C15"/>
  <c r="K14"/>
  <c r="J14"/>
  <c r="H14"/>
  <c r="G14"/>
  <c r="F14"/>
  <c r="K13"/>
  <c r="J13"/>
  <c r="H13"/>
  <c r="F13"/>
  <c r="K12"/>
  <c r="J12"/>
  <c r="H12"/>
  <c r="G12"/>
  <c r="F12"/>
  <c r="I11"/>
  <c r="I10" s="1"/>
  <c r="I9" s="1"/>
  <c r="E11"/>
  <c r="J11" s="1"/>
  <c r="D11"/>
  <c r="C11"/>
  <c r="D10"/>
  <c r="C16" i="44" l="1"/>
  <c r="C304" i="43"/>
  <c r="C296" s="1"/>
  <c r="C316" s="1"/>
  <c r="D284"/>
  <c r="D228" s="1"/>
  <c r="J235"/>
  <c r="G170"/>
  <c r="J165"/>
  <c r="H165"/>
  <c r="F308"/>
  <c r="K312"/>
  <c r="J146"/>
  <c r="G146"/>
  <c r="E144"/>
  <c r="E310"/>
  <c r="J310" s="1"/>
  <c r="K146"/>
  <c r="H146"/>
  <c r="G310"/>
  <c r="F144"/>
  <c r="F146"/>
  <c r="C310"/>
  <c r="G144"/>
  <c r="F140"/>
  <c r="J140"/>
  <c r="G147"/>
  <c r="K147"/>
  <c r="J312"/>
  <c r="J314"/>
  <c r="J120"/>
  <c r="F120"/>
  <c r="G113"/>
  <c r="G100"/>
  <c r="F100"/>
  <c r="K100"/>
  <c r="K93"/>
  <c r="F93"/>
  <c r="K229"/>
  <c r="F229"/>
  <c r="D297"/>
  <c r="C284"/>
  <c r="C228" s="1"/>
  <c r="J229"/>
  <c r="F199"/>
  <c r="G200"/>
  <c r="F200"/>
  <c r="J200"/>
  <c r="F187"/>
  <c r="F191"/>
  <c r="F192"/>
  <c r="G192" s="1"/>
  <c r="J192"/>
  <c r="G183"/>
  <c r="J86"/>
  <c r="C75"/>
  <c r="F75" s="1"/>
  <c r="J76"/>
  <c r="D46"/>
  <c r="G42"/>
  <c r="F42"/>
  <c r="J42"/>
  <c r="F32"/>
  <c r="K28"/>
  <c r="C23"/>
  <c r="E23"/>
  <c r="J23" s="1"/>
  <c r="G26"/>
  <c r="F26"/>
  <c r="J26"/>
  <c r="F11"/>
  <c r="I90"/>
  <c r="I73"/>
  <c r="F102"/>
  <c r="C98"/>
  <c r="H102"/>
  <c r="E98"/>
  <c r="F111"/>
  <c r="C299"/>
  <c r="J111"/>
  <c r="H111"/>
  <c r="E299"/>
  <c r="D301"/>
  <c r="G120"/>
  <c r="G124"/>
  <c r="D302"/>
  <c r="G302" s="1"/>
  <c r="F127"/>
  <c r="J127"/>
  <c r="H127"/>
  <c r="J133"/>
  <c r="E304"/>
  <c r="G140"/>
  <c r="D133"/>
  <c r="D162" s="1"/>
  <c r="K307"/>
  <c r="J307"/>
  <c r="K144"/>
  <c r="H144"/>
  <c r="J313"/>
  <c r="H313"/>
  <c r="K313"/>
  <c r="D286"/>
  <c r="J93"/>
  <c r="H93"/>
  <c r="E297"/>
  <c r="G297" s="1"/>
  <c r="I162"/>
  <c r="I163" s="1"/>
  <c r="I297"/>
  <c r="I296" s="1"/>
  <c r="I316" s="1"/>
  <c r="C300"/>
  <c r="F113"/>
  <c r="E300"/>
  <c r="J113"/>
  <c r="H113"/>
  <c r="J302"/>
  <c r="H302"/>
  <c r="F133"/>
  <c r="J135"/>
  <c r="H135"/>
  <c r="K305"/>
  <c r="J305"/>
  <c r="F147"/>
  <c r="C311"/>
  <c r="F311" s="1"/>
  <c r="J147"/>
  <c r="H147"/>
  <c r="E311"/>
  <c r="G311" s="1"/>
  <c r="J308"/>
  <c r="K308"/>
  <c r="G157"/>
  <c r="D155"/>
  <c r="G308" s="1"/>
  <c r="J170"/>
  <c r="H170"/>
  <c r="I224"/>
  <c r="I225"/>
  <c r="I227" s="1"/>
  <c r="D181"/>
  <c r="F183"/>
  <c r="C182"/>
  <c r="J183"/>
  <c r="H183"/>
  <c r="E182"/>
  <c r="J226"/>
  <c r="K226"/>
  <c r="C286"/>
  <c r="K309"/>
  <c r="J309"/>
  <c r="H309"/>
  <c r="F315"/>
  <c r="J315"/>
  <c r="H315"/>
  <c r="G11"/>
  <c r="K11"/>
  <c r="H15"/>
  <c r="K17"/>
  <c r="H18"/>
  <c r="G21"/>
  <c r="K21"/>
  <c r="K23"/>
  <c r="H24"/>
  <c r="H26"/>
  <c r="H28"/>
  <c r="G32"/>
  <c r="K32"/>
  <c r="H42"/>
  <c r="K47"/>
  <c r="K48"/>
  <c r="K50"/>
  <c r="G54"/>
  <c r="K54"/>
  <c r="K60"/>
  <c r="G62"/>
  <c r="K62"/>
  <c r="K75"/>
  <c r="H76"/>
  <c r="H80"/>
  <c r="G84"/>
  <c r="H86"/>
  <c r="G300"/>
  <c r="J144"/>
  <c r="C10"/>
  <c r="E10"/>
  <c r="G10" s="1"/>
  <c r="H11"/>
  <c r="D17"/>
  <c r="G17" s="1"/>
  <c r="H21"/>
  <c r="D23"/>
  <c r="G23" s="1"/>
  <c r="C31"/>
  <c r="E31"/>
  <c r="H32"/>
  <c r="H47"/>
  <c r="H50"/>
  <c r="C53"/>
  <c r="E53"/>
  <c r="K53"/>
  <c r="H54"/>
  <c r="H60"/>
  <c r="H62"/>
  <c r="H70"/>
  <c r="E74"/>
  <c r="D75"/>
  <c r="D98"/>
  <c r="H100"/>
  <c r="G102"/>
  <c r="G111"/>
  <c r="K111"/>
  <c r="H120"/>
  <c r="H124"/>
  <c r="G303"/>
  <c r="G127"/>
  <c r="K127"/>
  <c r="K133"/>
  <c r="H140"/>
  <c r="G313"/>
  <c r="K187"/>
  <c r="K191"/>
  <c r="H192"/>
  <c r="K195"/>
  <c r="K197"/>
  <c r="K199"/>
  <c r="H200"/>
  <c r="K205"/>
  <c r="K212"/>
  <c r="H213"/>
  <c r="H229"/>
  <c r="G235"/>
  <c r="G237"/>
  <c r="J237"/>
  <c r="H243"/>
  <c r="H246"/>
  <c r="H249"/>
  <c r="H253"/>
  <c r="K258"/>
  <c r="K261"/>
  <c r="G265"/>
  <c r="K265"/>
  <c r="K267"/>
  <c r="H275"/>
  <c r="H277"/>
  <c r="H281"/>
  <c r="H228"/>
  <c r="F301"/>
  <c r="K306"/>
  <c r="H312"/>
  <c r="H314"/>
  <c r="K124"/>
  <c r="D191"/>
  <c r="H191" s="1"/>
  <c r="H195"/>
  <c r="H197"/>
  <c r="D199"/>
  <c r="G199" s="1"/>
  <c r="H199"/>
  <c r="H205"/>
  <c r="E208"/>
  <c r="H212"/>
  <c r="G229"/>
  <c r="H237"/>
  <c r="H258"/>
  <c r="H261"/>
  <c r="H265"/>
  <c r="H267"/>
  <c r="G281"/>
  <c r="K281"/>
  <c r="H310"/>
  <c r="H226" i="42"/>
  <c r="F226"/>
  <c r="G226"/>
  <c r="H235" i="43" l="1"/>
  <c r="K235"/>
  <c r="F235"/>
  <c r="F310"/>
  <c r="F304"/>
  <c r="F228"/>
  <c r="G228"/>
  <c r="C74"/>
  <c r="C295" s="1"/>
  <c r="F23"/>
  <c r="H17"/>
  <c r="F31"/>
  <c r="K208"/>
  <c r="J208"/>
  <c r="H208"/>
  <c r="J284"/>
  <c r="E286"/>
  <c r="K284"/>
  <c r="G98"/>
  <c r="D298"/>
  <c r="G75"/>
  <c r="D74"/>
  <c r="H74" s="1"/>
  <c r="J53"/>
  <c r="H53"/>
  <c r="F10"/>
  <c r="C9"/>
  <c r="F182"/>
  <c r="C181"/>
  <c r="K300"/>
  <c r="J300"/>
  <c r="H300"/>
  <c r="K162"/>
  <c r="E163"/>
  <c r="J162"/>
  <c r="F162"/>
  <c r="D304"/>
  <c r="G304" s="1"/>
  <c r="G133"/>
  <c r="J304"/>
  <c r="K304"/>
  <c r="J299"/>
  <c r="H299"/>
  <c r="K299"/>
  <c r="D187"/>
  <c r="G191"/>
  <c r="J301"/>
  <c r="H301"/>
  <c r="K301"/>
  <c r="E295"/>
  <c r="K74"/>
  <c r="J74"/>
  <c r="K31"/>
  <c r="J31"/>
  <c r="H31"/>
  <c r="K10"/>
  <c r="J10"/>
  <c r="H10"/>
  <c r="E9"/>
  <c r="K182"/>
  <c r="H182"/>
  <c r="E181"/>
  <c r="J182"/>
  <c r="J311"/>
  <c r="H311"/>
  <c r="K311"/>
  <c r="J297"/>
  <c r="H297"/>
  <c r="K297"/>
  <c r="F297"/>
  <c r="K303"/>
  <c r="J303"/>
  <c r="H303"/>
  <c r="E298"/>
  <c r="K98"/>
  <c r="J98"/>
  <c r="H98"/>
  <c r="F298"/>
  <c r="F98"/>
  <c r="E46"/>
  <c r="F284"/>
  <c r="F300"/>
  <c r="I293"/>
  <c r="H284"/>
  <c r="H286" s="1"/>
  <c r="G299"/>
  <c r="H75"/>
  <c r="F53"/>
  <c r="C46"/>
  <c r="H23"/>
  <c r="D9"/>
  <c r="F286"/>
  <c r="G182"/>
  <c r="H308"/>
  <c r="G284"/>
  <c r="H133"/>
  <c r="F303"/>
  <c r="G301"/>
  <c r="F299"/>
  <c r="G53"/>
  <c r="G31"/>
  <c r="I294"/>
  <c r="C293" i="42"/>
  <c r="F163" i="43" l="1"/>
  <c r="F74"/>
  <c r="K46"/>
  <c r="J46"/>
  <c r="H46"/>
  <c r="G46"/>
  <c r="K298"/>
  <c r="J298"/>
  <c r="H298"/>
  <c r="E224"/>
  <c r="J181"/>
  <c r="H181"/>
  <c r="E225"/>
  <c r="K181"/>
  <c r="G187"/>
  <c r="H187"/>
  <c r="J163"/>
  <c r="K163"/>
  <c r="C224"/>
  <c r="F181"/>
  <c r="F9"/>
  <c r="C90"/>
  <c r="C73"/>
  <c r="D295"/>
  <c r="G295" s="1"/>
  <c r="G74"/>
  <c r="D163"/>
  <c r="G163" s="1"/>
  <c r="G162"/>
  <c r="J286"/>
  <c r="K286"/>
  <c r="D90"/>
  <c r="D73"/>
  <c r="G9"/>
  <c r="E90"/>
  <c r="J9"/>
  <c r="H9"/>
  <c r="E73"/>
  <c r="K9"/>
  <c r="J295"/>
  <c r="K295"/>
  <c r="G298"/>
  <c r="D296"/>
  <c r="G181"/>
  <c r="F46"/>
  <c r="G286"/>
  <c r="H304"/>
  <c r="H162"/>
  <c r="D224"/>
  <c r="F295"/>
  <c r="C163" i="42"/>
  <c r="C168"/>
  <c r="H167"/>
  <c r="D225" i="43" l="1"/>
  <c r="G224"/>
  <c r="H224"/>
  <c r="D316"/>
  <c r="G296"/>
  <c r="E294"/>
  <c r="J73"/>
  <c r="H73"/>
  <c r="K73"/>
  <c r="G90"/>
  <c r="E227"/>
  <c r="J225"/>
  <c r="K225"/>
  <c r="K296"/>
  <c r="J296"/>
  <c r="H296"/>
  <c r="F296"/>
  <c r="F316"/>
  <c r="K90"/>
  <c r="E293"/>
  <c r="H90"/>
  <c r="J90"/>
  <c r="D294"/>
  <c r="G73"/>
  <c r="C294"/>
  <c r="F73"/>
  <c r="C225"/>
  <c r="F224"/>
  <c r="K224"/>
  <c r="J224"/>
  <c r="H295"/>
  <c r="H163"/>
  <c r="E263" i="42"/>
  <c r="D263"/>
  <c r="C263"/>
  <c r="C251"/>
  <c r="H234"/>
  <c r="F234"/>
  <c r="G234"/>
  <c r="E220"/>
  <c r="F199"/>
  <c r="G199"/>
  <c r="H199"/>
  <c r="H191"/>
  <c r="G191"/>
  <c r="F191"/>
  <c r="E154"/>
  <c r="D154"/>
  <c r="G156"/>
  <c r="F156"/>
  <c r="E156"/>
  <c r="D156"/>
  <c r="H156" s="1"/>
  <c r="C156"/>
  <c r="C154" s="1"/>
  <c r="C119"/>
  <c r="D112"/>
  <c r="C112"/>
  <c r="H113"/>
  <c r="G113"/>
  <c r="F113"/>
  <c r="E112"/>
  <c r="C92"/>
  <c r="G103"/>
  <c r="H103"/>
  <c r="F103"/>
  <c r="F294" i="43" l="1"/>
  <c r="G294"/>
  <c r="J293"/>
  <c r="K293"/>
  <c r="J316"/>
  <c r="H316"/>
  <c r="K316"/>
  <c r="D227"/>
  <c r="G225"/>
  <c r="C227"/>
  <c r="F225"/>
  <c r="K227"/>
  <c r="J227"/>
  <c r="H227"/>
  <c r="K294"/>
  <c r="J294"/>
  <c r="H294"/>
  <c r="H225"/>
  <c r="G316"/>
  <c r="E83" i="42"/>
  <c r="G83" s="1"/>
  <c r="D83"/>
  <c r="C83"/>
  <c r="H84"/>
  <c r="G84"/>
  <c r="F84"/>
  <c r="C11"/>
  <c r="E69"/>
  <c r="E68" s="1"/>
  <c r="D69"/>
  <c r="D68" s="1"/>
  <c r="C69"/>
  <c r="C68" s="1"/>
  <c r="E61"/>
  <c r="D61"/>
  <c r="C61"/>
  <c r="E66"/>
  <c r="D66"/>
  <c r="C66"/>
  <c r="E59"/>
  <c r="E52" s="1"/>
  <c r="D59"/>
  <c r="C59"/>
  <c r="D46"/>
  <c r="E53"/>
  <c r="D53"/>
  <c r="C53"/>
  <c r="E49"/>
  <c r="E46" s="1"/>
  <c r="D49"/>
  <c r="C49"/>
  <c r="C46" s="1"/>
  <c r="F227" i="43" l="1"/>
  <c r="C293"/>
  <c r="F293" s="1"/>
  <c r="G227"/>
  <c r="D293"/>
  <c r="E45" i="42"/>
  <c r="D52"/>
  <c r="F83"/>
  <c r="H83"/>
  <c r="C10"/>
  <c r="D45"/>
  <c r="C52"/>
  <c r="C45" s="1"/>
  <c r="E28"/>
  <c r="D28"/>
  <c r="C28"/>
  <c r="E26"/>
  <c r="D26"/>
  <c r="C26"/>
  <c r="E24"/>
  <c r="E23" s="1"/>
  <c r="D24"/>
  <c r="D23" s="1"/>
  <c r="C24"/>
  <c r="E15"/>
  <c r="F15" s="1"/>
  <c r="D15"/>
  <c r="C15"/>
  <c r="F13"/>
  <c r="G293" i="43" l="1"/>
  <c r="H293"/>
  <c r="C23" i="42"/>
  <c r="C241" l="1"/>
  <c r="D241"/>
  <c r="H239"/>
  <c r="H238"/>
  <c r="H237"/>
  <c r="G239"/>
  <c r="G238"/>
  <c r="G237"/>
  <c r="F239"/>
  <c r="F238"/>
  <c r="F237"/>
  <c r="C235"/>
  <c r="C233" s="1"/>
  <c r="E92"/>
  <c r="D92"/>
  <c r="H95"/>
  <c r="G157"/>
  <c r="F157"/>
  <c r="H157"/>
  <c r="E139"/>
  <c r="E132" s="1"/>
  <c r="D139"/>
  <c r="D132" s="1"/>
  <c r="C139"/>
  <c r="G141"/>
  <c r="H141"/>
  <c r="F141"/>
  <c r="C132" l="1"/>
  <c r="C302" s="1"/>
  <c r="D302"/>
  <c r="E302"/>
  <c r="H138"/>
  <c r="G138"/>
  <c r="F138"/>
  <c r="F122" l="1"/>
  <c r="F107" l="1"/>
  <c r="G107"/>
  <c r="H107"/>
  <c r="F106"/>
  <c r="G106"/>
  <c r="H106"/>
  <c r="F105"/>
  <c r="G105"/>
  <c r="H105"/>
  <c r="F104"/>
  <c r="G104"/>
  <c r="H104"/>
  <c r="H219" l="1"/>
  <c r="H218"/>
  <c r="H217"/>
  <c r="H216"/>
  <c r="H214"/>
  <c r="H213"/>
  <c r="H188" l="1"/>
  <c r="H187"/>
  <c r="H186"/>
  <c r="G183"/>
  <c r="E85" l="1"/>
  <c r="D85"/>
  <c r="C85"/>
  <c r="H87"/>
  <c r="G87"/>
  <c r="F87"/>
  <c r="E79"/>
  <c r="D79"/>
  <c r="C79"/>
  <c r="H82"/>
  <c r="H81"/>
  <c r="F82"/>
  <c r="G82"/>
  <c r="H80"/>
  <c r="G81"/>
  <c r="F81"/>
  <c r="G71"/>
  <c r="G69"/>
  <c r="G68"/>
  <c r="G67"/>
  <c r="G66"/>
  <c r="E41"/>
  <c r="D41"/>
  <c r="C41"/>
  <c r="G40" l="1"/>
  <c r="F40"/>
  <c r="J40"/>
  <c r="K40"/>
  <c r="E31"/>
  <c r="E30" s="1"/>
  <c r="D31"/>
  <c r="D30" s="1"/>
  <c r="C31"/>
  <c r="C30" s="1"/>
  <c r="F23"/>
  <c r="C21"/>
  <c r="C227" l="1"/>
  <c r="D227"/>
  <c r="D295" s="1"/>
  <c r="H228"/>
  <c r="E275"/>
  <c r="H275" s="1"/>
  <c r="D275"/>
  <c r="G275" s="1"/>
  <c r="C275"/>
  <c r="H278"/>
  <c r="G278"/>
  <c r="F278"/>
  <c r="D198"/>
  <c r="F220"/>
  <c r="D220"/>
  <c r="C220"/>
  <c r="C215"/>
  <c r="C190"/>
  <c r="F109"/>
  <c r="G109"/>
  <c r="H109"/>
  <c r="G34"/>
  <c r="G33"/>
  <c r="H31"/>
  <c r="E21"/>
  <c r="D21"/>
  <c r="F19"/>
  <c r="E18"/>
  <c r="D18"/>
  <c r="D17" s="1"/>
  <c r="C18"/>
  <c r="C17" s="1"/>
  <c r="C9" s="1"/>
  <c r="C72" s="1"/>
  <c r="E11"/>
  <c r="D11"/>
  <c r="D10" s="1"/>
  <c r="F12"/>
  <c r="C203"/>
  <c r="E75"/>
  <c r="D75"/>
  <c r="D74" s="1"/>
  <c r="C75"/>
  <c r="C74" s="1"/>
  <c r="H79"/>
  <c r="F79"/>
  <c r="H240"/>
  <c r="G240"/>
  <c r="F240"/>
  <c r="H242"/>
  <c r="G242"/>
  <c r="F242"/>
  <c r="E241"/>
  <c r="F241" s="1"/>
  <c r="E190"/>
  <c r="D190"/>
  <c r="D189" s="1"/>
  <c r="F183"/>
  <c r="H192"/>
  <c r="F173"/>
  <c r="G173"/>
  <c r="H173"/>
  <c r="J173"/>
  <c r="K173"/>
  <c r="E158"/>
  <c r="E311" s="1"/>
  <c r="D158"/>
  <c r="D311" s="1"/>
  <c r="C158"/>
  <c r="H159"/>
  <c r="H158" s="1"/>
  <c r="G159"/>
  <c r="G158" s="1"/>
  <c r="F159"/>
  <c r="F158" s="1"/>
  <c r="H155"/>
  <c r="H154" s="1"/>
  <c r="G155"/>
  <c r="G154" s="1"/>
  <c r="F155"/>
  <c r="F154" s="1"/>
  <c r="H153"/>
  <c r="H152"/>
  <c r="G153"/>
  <c r="G152"/>
  <c r="F153"/>
  <c r="F152"/>
  <c r="E126"/>
  <c r="D126"/>
  <c r="C126"/>
  <c r="H128"/>
  <c r="G128"/>
  <c r="F128"/>
  <c r="E123"/>
  <c r="E300" s="1"/>
  <c r="D123"/>
  <c r="D300" s="1"/>
  <c r="C123"/>
  <c r="C300" s="1"/>
  <c r="F300" s="1"/>
  <c r="E119"/>
  <c r="F119" s="1"/>
  <c r="D119"/>
  <c r="C298"/>
  <c r="D298"/>
  <c r="C99"/>
  <c r="H88"/>
  <c r="G88"/>
  <c r="G79"/>
  <c r="H78"/>
  <c r="G78"/>
  <c r="F78"/>
  <c r="H69"/>
  <c r="H68"/>
  <c r="H67"/>
  <c r="H66"/>
  <c r="H64"/>
  <c r="H58"/>
  <c r="H40"/>
  <c r="H39"/>
  <c r="F32"/>
  <c r="H25"/>
  <c r="G25"/>
  <c r="F25"/>
  <c r="H19"/>
  <c r="G19"/>
  <c r="H114"/>
  <c r="G114"/>
  <c r="F114"/>
  <c r="E227"/>
  <c r="G227" s="1"/>
  <c r="H236"/>
  <c r="G236"/>
  <c r="F236"/>
  <c r="H174"/>
  <c r="G174"/>
  <c r="F174"/>
  <c r="F108"/>
  <c r="G108"/>
  <c r="H108"/>
  <c r="H102"/>
  <c r="G102"/>
  <c r="F102"/>
  <c r="H100"/>
  <c r="G100"/>
  <c r="F100"/>
  <c r="D235"/>
  <c r="D233" s="1"/>
  <c r="E235"/>
  <c r="E233" s="1"/>
  <c r="F233" s="1"/>
  <c r="D101"/>
  <c r="E101"/>
  <c r="C101"/>
  <c r="D99"/>
  <c r="E99"/>
  <c r="E97" s="1"/>
  <c r="G31"/>
  <c r="H53"/>
  <c r="G257"/>
  <c r="F257"/>
  <c r="G254"/>
  <c r="H254"/>
  <c r="D251"/>
  <c r="E251"/>
  <c r="J251" s="1"/>
  <c r="J254"/>
  <c r="K254"/>
  <c r="F254"/>
  <c r="I256"/>
  <c r="K256" s="1"/>
  <c r="F316"/>
  <c r="F250"/>
  <c r="G250"/>
  <c r="H250"/>
  <c r="K95"/>
  <c r="J95"/>
  <c r="G95"/>
  <c r="F95"/>
  <c r="I244"/>
  <c r="I233"/>
  <c r="J243"/>
  <c r="K243"/>
  <c r="I92"/>
  <c r="K92" s="1"/>
  <c r="I112"/>
  <c r="J112" s="1"/>
  <c r="E215"/>
  <c r="D215"/>
  <c r="C208"/>
  <c r="C207" s="1"/>
  <c r="D208"/>
  <c r="D207" s="1"/>
  <c r="E208"/>
  <c r="E207" s="1"/>
  <c r="J255"/>
  <c r="K255"/>
  <c r="F255"/>
  <c r="G255"/>
  <c r="H255"/>
  <c r="I273"/>
  <c r="I190"/>
  <c r="H48"/>
  <c r="H50"/>
  <c r="H51"/>
  <c r="H54"/>
  <c r="H55"/>
  <c r="H56"/>
  <c r="F243"/>
  <c r="D244"/>
  <c r="G244" s="1"/>
  <c r="E244"/>
  <c r="C244"/>
  <c r="F244" s="1"/>
  <c r="G243"/>
  <c r="H243"/>
  <c r="G111"/>
  <c r="F111"/>
  <c r="D110"/>
  <c r="D297" s="1"/>
  <c r="E110"/>
  <c r="C110"/>
  <c r="C297" s="1"/>
  <c r="J96"/>
  <c r="K96"/>
  <c r="F96"/>
  <c r="G96"/>
  <c r="H96"/>
  <c r="I265"/>
  <c r="I247"/>
  <c r="D247"/>
  <c r="G247" s="1"/>
  <c r="E247"/>
  <c r="J247" s="1"/>
  <c r="C247"/>
  <c r="F247" s="1"/>
  <c r="J250"/>
  <c r="K250"/>
  <c r="I75"/>
  <c r="K75" s="1"/>
  <c r="K260"/>
  <c r="J260"/>
  <c r="H260"/>
  <c r="G260"/>
  <c r="F260"/>
  <c r="K249"/>
  <c r="J249"/>
  <c r="H249"/>
  <c r="G249"/>
  <c r="F249"/>
  <c r="D259"/>
  <c r="G259" s="1"/>
  <c r="E259"/>
  <c r="C259"/>
  <c r="F259" s="1"/>
  <c r="I227"/>
  <c r="I85"/>
  <c r="J85" s="1"/>
  <c r="J232"/>
  <c r="K232"/>
  <c r="G232"/>
  <c r="F232"/>
  <c r="G231"/>
  <c r="F231"/>
  <c r="F228"/>
  <c r="H231"/>
  <c r="G116"/>
  <c r="F116"/>
  <c r="H116"/>
  <c r="J116"/>
  <c r="K116"/>
  <c r="I259"/>
  <c r="J231"/>
  <c r="K231"/>
  <c r="F272"/>
  <c r="F271"/>
  <c r="H27"/>
  <c r="D265"/>
  <c r="E265"/>
  <c r="C265"/>
  <c r="I275"/>
  <c r="K277"/>
  <c r="J277"/>
  <c r="H277"/>
  <c r="G277"/>
  <c r="F277"/>
  <c r="I306"/>
  <c r="H144"/>
  <c r="G144"/>
  <c r="F144"/>
  <c r="K144"/>
  <c r="J144"/>
  <c r="D143"/>
  <c r="G143" s="1"/>
  <c r="E143"/>
  <c r="C143"/>
  <c r="F143" s="1"/>
  <c r="I312"/>
  <c r="D312"/>
  <c r="G312" s="1"/>
  <c r="E312"/>
  <c r="C312"/>
  <c r="F312" s="1"/>
  <c r="I311"/>
  <c r="I310"/>
  <c r="D310"/>
  <c r="G310" s="1"/>
  <c r="E310"/>
  <c r="C310"/>
  <c r="F310" s="1"/>
  <c r="I308"/>
  <c r="D308"/>
  <c r="E308"/>
  <c r="C308"/>
  <c r="F308" s="1"/>
  <c r="I168"/>
  <c r="F165"/>
  <c r="G165"/>
  <c r="F166"/>
  <c r="G166"/>
  <c r="F167"/>
  <c r="G167"/>
  <c r="F169"/>
  <c r="G169"/>
  <c r="F170"/>
  <c r="G170"/>
  <c r="F171"/>
  <c r="G171"/>
  <c r="F172"/>
  <c r="G172"/>
  <c r="F175"/>
  <c r="G175"/>
  <c r="G164"/>
  <c r="F164"/>
  <c r="D168"/>
  <c r="E168"/>
  <c r="F168" s="1"/>
  <c r="I163"/>
  <c r="D163"/>
  <c r="H163" s="1"/>
  <c r="E163"/>
  <c r="J164"/>
  <c r="K164"/>
  <c r="J165"/>
  <c r="K165"/>
  <c r="J166"/>
  <c r="K166"/>
  <c r="J167"/>
  <c r="K167"/>
  <c r="J169"/>
  <c r="K169"/>
  <c r="J170"/>
  <c r="K170"/>
  <c r="J171"/>
  <c r="K171"/>
  <c r="J172"/>
  <c r="K172"/>
  <c r="J174"/>
  <c r="K174"/>
  <c r="J175"/>
  <c r="K175"/>
  <c r="H164"/>
  <c r="H165"/>
  <c r="H166"/>
  <c r="H169"/>
  <c r="H170"/>
  <c r="H171"/>
  <c r="H172"/>
  <c r="H175"/>
  <c r="D288"/>
  <c r="D313" s="1"/>
  <c r="G313" s="1"/>
  <c r="E288"/>
  <c r="E313" s="1"/>
  <c r="I288"/>
  <c r="I313" s="1"/>
  <c r="C288"/>
  <c r="C313" s="1"/>
  <c r="F313" s="1"/>
  <c r="J253"/>
  <c r="K253"/>
  <c r="I251"/>
  <c r="F253"/>
  <c r="G253"/>
  <c r="H253"/>
  <c r="F281"/>
  <c r="G281"/>
  <c r="J276"/>
  <c r="K276"/>
  <c r="J280"/>
  <c r="K280"/>
  <c r="J281"/>
  <c r="K281"/>
  <c r="H281"/>
  <c r="I279"/>
  <c r="I307" s="1"/>
  <c r="J267"/>
  <c r="K267"/>
  <c r="F267"/>
  <c r="G267"/>
  <c r="H267"/>
  <c r="I263"/>
  <c r="J263" s="1"/>
  <c r="F258"/>
  <c r="G258"/>
  <c r="K262"/>
  <c r="K252"/>
  <c r="K258"/>
  <c r="F246"/>
  <c r="G246"/>
  <c r="J246"/>
  <c r="K246"/>
  <c r="H246"/>
  <c r="F229"/>
  <c r="G229"/>
  <c r="H229"/>
  <c r="J229"/>
  <c r="K229"/>
  <c r="F230"/>
  <c r="G230"/>
  <c r="H230"/>
  <c r="J230"/>
  <c r="K230"/>
  <c r="D279"/>
  <c r="D306" s="1"/>
  <c r="E279"/>
  <c r="K279" s="1"/>
  <c r="C279"/>
  <c r="C306" s="1"/>
  <c r="F307"/>
  <c r="D273"/>
  <c r="E273"/>
  <c r="C273"/>
  <c r="F263"/>
  <c r="D256"/>
  <c r="E256"/>
  <c r="C256"/>
  <c r="F256" s="1"/>
  <c r="K212"/>
  <c r="J212"/>
  <c r="H212"/>
  <c r="I211"/>
  <c r="E211"/>
  <c r="K211" s="1"/>
  <c r="D211"/>
  <c r="C211"/>
  <c r="C210" s="1"/>
  <c r="C206" s="1"/>
  <c r="K205"/>
  <c r="J205"/>
  <c r="H205"/>
  <c r="G205"/>
  <c r="F205"/>
  <c r="H204"/>
  <c r="I203"/>
  <c r="E203"/>
  <c r="J203" s="1"/>
  <c r="D203"/>
  <c r="K202"/>
  <c r="J202"/>
  <c r="H202"/>
  <c r="G202"/>
  <c r="F202"/>
  <c r="K201"/>
  <c r="J201"/>
  <c r="H201"/>
  <c r="G201"/>
  <c r="F201"/>
  <c r="K200"/>
  <c r="J200"/>
  <c r="H200"/>
  <c r="G200"/>
  <c r="F200"/>
  <c r="K199"/>
  <c r="J199"/>
  <c r="I198"/>
  <c r="E198"/>
  <c r="G198" s="1"/>
  <c r="C198"/>
  <c r="K196"/>
  <c r="J196"/>
  <c r="H196"/>
  <c r="G196"/>
  <c r="F196"/>
  <c r="I195"/>
  <c r="E195"/>
  <c r="D195"/>
  <c r="G195" s="1"/>
  <c r="C195"/>
  <c r="F195" s="1"/>
  <c r="K194"/>
  <c r="J194"/>
  <c r="H194"/>
  <c r="G194"/>
  <c r="F194"/>
  <c r="I193"/>
  <c r="E193"/>
  <c r="D193"/>
  <c r="C193"/>
  <c r="F193" s="1"/>
  <c r="K191"/>
  <c r="J191"/>
  <c r="K184"/>
  <c r="J184"/>
  <c r="H184"/>
  <c r="G184"/>
  <c r="F184"/>
  <c r="K183"/>
  <c r="J183"/>
  <c r="H183"/>
  <c r="K182"/>
  <c r="J182"/>
  <c r="H182"/>
  <c r="G182"/>
  <c r="F182"/>
  <c r="I181"/>
  <c r="E181"/>
  <c r="E180" s="1"/>
  <c r="D181"/>
  <c r="D180" s="1"/>
  <c r="D179" s="1"/>
  <c r="C181"/>
  <c r="C180" s="1"/>
  <c r="C179" s="1"/>
  <c r="I47"/>
  <c r="J47" s="1"/>
  <c r="I69"/>
  <c r="J69" s="1"/>
  <c r="I110"/>
  <c r="I146"/>
  <c r="I309" s="1"/>
  <c r="F148"/>
  <c r="G148"/>
  <c r="H148"/>
  <c r="J148"/>
  <c r="K148"/>
  <c r="I139"/>
  <c r="K139" s="1"/>
  <c r="I134"/>
  <c r="I132"/>
  <c r="K132" s="1"/>
  <c r="I126"/>
  <c r="I301" s="1"/>
  <c r="I123"/>
  <c r="I97"/>
  <c r="F150"/>
  <c r="G150"/>
  <c r="H150"/>
  <c r="J150"/>
  <c r="K150"/>
  <c r="D146"/>
  <c r="D309" s="1"/>
  <c r="G309" s="1"/>
  <c r="E146"/>
  <c r="E309" s="1"/>
  <c r="C146"/>
  <c r="C309" s="1"/>
  <c r="F309" s="1"/>
  <c r="G139"/>
  <c r="D134"/>
  <c r="G134" s="1"/>
  <c r="E134"/>
  <c r="C134"/>
  <c r="F134" s="1"/>
  <c r="I119"/>
  <c r="F93"/>
  <c r="G93"/>
  <c r="H93"/>
  <c r="J93"/>
  <c r="K93"/>
  <c r="F94"/>
  <c r="G94"/>
  <c r="H94"/>
  <c r="J94"/>
  <c r="K94"/>
  <c r="F98"/>
  <c r="G98"/>
  <c r="H98"/>
  <c r="J98"/>
  <c r="K98"/>
  <c r="H111"/>
  <c r="J111"/>
  <c r="K111"/>
  <c r="F115"/>
  <c r="G115"/>
  <c r="H115"/>
  <c r="J115"/>
  <c r="K115"/>
  <c r="F117"/>
  <c r="G117"/>
  <c r="H117"/>
  <c r="J117"/>
  <c r="K117"/>
  <c r="F118"/>
  <c r="G118"/>
  <c r="H118"/>
  <c r="J118"/>
  <c r="K118"/>
  <c r="F120"/>
  <c r="G120"/>
  <c r="H120"/>
  <c r="J120"/>
  <c r="K120"/>
  <c r="F121"/>
  <c r="G121"/>
  <c r="H121"/>
  <c r="J121"/>
  <c r="K121"/>
  <c r="G122"/>
  <c r="H122"/>
  <c r="J122"/>
  <c r="K122"/>
  <c r="F124"/>
  <c r="G124"/>
  <c r="H124"/>
  <c r="J124"/>
  <c r="K124"/>
  <c r="F125"/>
  <c r="G125"/>
  <c r="H125"/>
  <c r="J125"/>
  <c r="K125"/>
  <c r="F127"/>
  <c r="G127"/>
  <c r="H127"/>
  <c r="J127"/>
  <c r="K127"/>
  <c r="F129"/>
  <c r="G129"/>
  <c r="H129"/>
  <c r="J129"/>
  <c r="K129"/>
  <c r="F130"/>
  <c r="G130"/>
  <c r="H130"/>
  <c r="J130"/>
  <c r="K130"/>
  <c r="F131"/>
  <c r="G131"/>
  <c r="H131"/>
  <c r="J131"/>
  <c r="K131"/>
  <c r="F133"/>
  <c r="G133"/>
  <c r="H133"/>
  <c r="J133"/>
  <c r="K133"/>
  <c r="F135"/>
  <c r="G135"/>
  <c r="H135"/>
  <c r="J135"/>
  <c r="K135"/>
  <c r="F136"/>
  <c r="G136"/>
  <c r="H136"/>
  <c r="J136"/>
  <c r="K136"/>
  <c r="F137"/>
  <c r="G137"/>
  <c r="H137"/>
  <c r="J137"/>
  <c r="K137"/>
  <c r="F140"/>
  <c r="G140"/>
  <c r="H140"/>
  <c r="J140"/>
  <c r="K140"/>
  <c r="F145"/>
  <c r="G145"/>
  <c r="H145"/>
  <c r="J145"/>
  <c r="K145"/>
  <c r="F147"/>
  <c r="G147"/>
  <c r="H147"/>
  <c r="J147"/>
  <c r="K147"/>
  <c r="F149"/>
  <c r="G149"/>
  <c r="H149"/>
  <c r="J149"/>
  <c r="K149"/>
  <c r="F151"/>
  <c r="G151"/>
  <c r="H151"/>
  <c r="J151"/>
  <c r="K151"/>
  <c r="J86"/>
  <c r="K86"/>
  <c r="I61"/>
  <c r="J61" s="1"/>
  <c r="I59"/>
  <c r="K59" s="1"/>
  <c r="I53"/>
  <c r="K53" s="1"/>
  <c r="J50"/>
  <c r="K50"/>
  <c r="I49"/>
  <c r="K49" s="1"/>
  <c r="I41"/>
  <c r="K41" s="1"/>
  <c r="I31"/>
  <c r="K31" s="1"/>
  <c r="F86"/>
  <c r="G86"/>
  <c r="K85"/>
  <c r="H63"/>
  <c r="F54"/>
  <c r="G54"/>
  <c r="F55"/>
  <c r="G55"/>
  <c r="F56"/>
  <c r="G56"/>
  <c r="F57"/>
  <c r="G57"/>
  <c r="F60"/>
  <c r="G60"/>
  <c r="F62"/>
  <c r="G62"/>
  <c r="F63"/>
  <c r="G63"/>
  <c r="G65"/>
  <c r="F70"/>
  <c r="F71"/>
  <c r="F50"/>
  <c r="G50"/>
  <c r="F51"/>
  <c r="G51"/>
  <c r="F48"/>
  <c r="G48"/>
  <c r="H61"/>
  <c r="H59"/>
  <c r="F49"/>
  <c r="K44"/>
  <c r="K43"/>
  <c r="H38"/>
  <c r="I28"/>
  <c r="J28" s="1"/>
  <c r="I26"/>
  <c r="J26" s="1"/>
  <c r="I24"/>
  <c r="K24" s="1"/>
  <c r="I21"/>
  <c r="J21" s="1"/>
  <c r="I18"/>
  <c r="I15"/>
  <c r="J15" s="1"/>
  <c r="I11"/>
  <c r="H24"/>
  <c r="G15"/>
  <c r="F248"/>
  <c r="G268"/>
  <c r="G276"/>
  <c r="J252"/>
  <c r="F252"/>
  <c r="K76"/>
  <c r="K77"/>
  <c r="K81"/>
  <c r="J76"/>
  <c r="J77"/>
  <c r="J81"/>
  <c r="H76"/>
  <c r="H77"/>
  <c r="G76"/>
  <c r="G77"/>
  <c r="F76"/>
  <c r="F77"/>
  <c r="K271"/>
  <c r="K272"/>
  <c r="K274"/>
  <c r="J271"/>
  <c r="J272"/>
  <c r="J274"/>
  <c r="K266"/>
  <c r="H252"/>
  <c r="G252"/>
  <c r="K248"/>
  <c r="J248"/>
  <c r="H248"/>
  <c r="G248"/>
  <c r="J51"/>
  <c r="J57"/>
  <c r="K57"/>
  <c r="J60"/>
  <c r="K60"/>
  <c r="J37"/>
  <c r="K37"/>
  <c r="F37"/>
  <c r="G37"/>
  <c r="J234"/>
  <c r="K234"/>
  <c r="J242"/>
  <c r="K242"/>
  <c r="G283"/>
  <c r="F283"/>
  <c r="K48"/>
  <c r="J42"/>
  <c r="J43"/>
  <c r="J44"/>
  <c r="J48"/>
  <c r="J12"/>
  <c r="J13"/>
  <c r="J14"/>
  <c r="J16"/>
  <c r="J20"/>
  <c r="J22"/>
  <c r="J25"/>
  <c r="J27"/>
  <c r="J29"/>
  <c r="J32"/>
  <c r="J33"/>
  <c r="J34"/>
  <c r="J35"/>
  <c r="J36"/>
  <c r="H57"/>
  <c r="J39"/>
  <c r="G285"/>
  <c r="F285"/>
  <c r="H32"/>
  <c r="G32"/>
  <c r="G280"/>
  <c r="H280"/>
  <c r="F280"/>
  <c r="K270"/>
  <c r="J270"/>
  <c r="J266"/>
  <c r="K264"/>
  <c r="J264"/>
  <c r="J262"/>
  <c r="K261"/>
  <c r="J261"/>
  <c r="H274"/>
  <c r="G274"/>
  <c r="F274"/>
  <c r="H272"/>
  <c r="G272"/>
  <c r="H271"/>
  <c r="G271"/>
  <c r="H270"/>
  <c r="G270"/>
  <c r="F270"/>
  <c r="H266"/>
  <c r="G266"/>
  <c r="F266"/>
  <c r="H264"/>
  <c r="G264"/>
  <c r="F264"/>
  <c r="H262"/>
  <c r="G262"/>
  <c r="F262"/>
  <c r="H261"/>
  <c r="G261"/>
  <c r="F261"/>
  <c r="J54"/>
  <c r="K54"/>
  <c r="H60"/>
  <c r="K29"/>
  <c r="K22"/>
  <c r="J55"/>
  <c r="K55"/>
  <c r="J56"/>
  <c r="K56"/>
  <c r="K51"/>
  <c r="K16"/>
  <c r="G315"/>
  <c r="G289"/>
  <c r="H287"/>
  <c r="H288" s="1"/>
  <c r="G287"/>
  <c r="G288" s="1"/>
  <c r="G286"/>
  <c r="H285"/>
  <c r="H283"/>
  <c r="H258"/>
  <c r="G228"/>
  <c r="K27"/>
  <c r="K283"/>
  <c r="K228"/>
  <c r="J228"/>
  <c r="K35"/>
  <c r="K25"/>
  <c r="K20"/>
  <c r="K62"/>
  <c r="H62"/>
  <c r="J62"/>
  <c r="F42"/>
  <c r="G42"/>
  <c r="H42"/>
  <c r="K42"/>
  <c r="F43"/>
  <c r="G43"/>
  <c r="H43"/>
  <c r="F44"/>
  <c r="G44"/>
  <c r="H44"/>
  <c r="H37"/>
  <c r="K36"/>
  <c r="H36"/>
  <c r="G36"/>
  <c r="F36"/>
  <c r="K34"/>
  <c r="H34"/>
  <c r="F34"/>
  <c r="K33"/>
  <c r="H33"/>
  <c r="F33"/>
  <c r="H35"/>
  <c r="G35"/>
  <c r="F35"/>
  <c r="H29"/>
  <c r="G29"/>
  <c r="F29"/>
  <c r="G27"/>
  <c r="F27"/>
  <c r="H22"/>
  <c r="G22"/>
  <c r="F22"/>
  <c r="H20"/>
  <c r="G20"/>
  <c r="F20"/>
  <c r="H16"/>
  <c r="G16"/>
  <c r="F16"/>
  <c r="K14"/>
  <c r="H14"/>
  <c r="G14"/>
  <c r="F14"/>
  <c r="K13"/>
  <c r="H13"/>
  <c r="K12"/>
  <c r="H12"/>
  <c r="G12"/>
  <c r="H86"/>
  <c r="H70"/>
  <c r="H71"/>
  <c r="J285"/>
  <c r="F287"/>
  <c r="F288" s="1"/>
  <c r="K285"/>
  <c r="J258"/>
  <c r="K287"/>
  <c r="K288" s="1"/>
  <c r="J287"/>
  <c r="J288" s="1"/>
  <c r="J283"/>
  <c r="K71"/>
  <c r="J71"/>
  <c r="K70"/>
  <c r="J70"/>
  <c r="G39"/>
  <c r="F39"/>
  <c r="K39"/>
  <c r="K63"/>
  <c r="G38"/>
  <c r="F38"/>
  <c r="J63"/>
  <c r="H65"/>
  <c r="J38"/>
  <c r="K38"/>
  <c r="K65"/>
  <c r="J65"/>
  <c r="H268"/>
  <c r="K268"/>
  <c r="F276"/>
  <c r="J268"/>
  <c r="F268"/>
  <c r="H276"/>
  <c r="H15"/>
  <c r="K316"/>
  <c r="G316"/>
  <c r="J316"/>
  <c r="H316"/>
  <c r="G263"/>
  <c r="H28"/>
  <c r="F31"/>
  <c r="F28"/>
  <c r="F139"/>
  <c r="J143"/>
  <c r="K143"/>
  <c r="K235"/>
  <c r="F112"/>
  <c r="E307"/>
  <c r="J307" s="1"/>
  <c r="J163"/>
  <c r="E298"/>
  <c r="F21"/>
  <c r="G28"/>
  <c r="F26"/>
  <c r="F47"/>
  <c r="I304"/>
  <c r="J304" s="1"/>
  <c r="G53"/>
  <c r="G41"/>
  <c r="H41"/>
  <c r="F41"/>
  <c r="G30"/>
  <c r="F30"/>
  <c r="H26"/>
  <c r="G26"/>
  <c r="G24"/>
  <c r="H23"/>
  <c r="F24"/>
  <c r="H21"/>
  <c r="G21"/>
  <c r="H30"/>
  <c r="G23"/>
  <c r="H190"/>
  <c r="K61"/>
  <c r="G61"/>
  <c r="F61"/>
  <c r="G59"/>
  <c r="J59"/>
  <c r="F59"/>
  <c r="F53"/>
  <c r="G47"/>
  <c r="H47"/>
  <c r="H49"/>
  <c r="G49"/>
  <c r="G52"/>
  <c r="J235"/>
  <c r="G193"/>
  <c r="F46"/>
  <c r="F52"/>
  <c r="H52"/>
  <c r="G46"/>
  <c r="G45"/>
  <c r="H46"/>
  <c r="F45"/>
  <c r="H45"/>
  <c r="G99"/>
  <c r="F101"/>
  <c r="K134"/>
  <c r="H92"/>
  <c r="I297"/>
  <c r="I189"/>
  <c r="K21"/>
  <c r="J134"/>
  <c r="K119"/>
  <c r="J146"/>
  <c r="K69"/>
  <c r="I180"/>
  <c r="I179" s="1"/>
  <c r="D210"/>
  <c r="D206" s="1"/>
  <c r="I210"/>
  <c r="G256"/>
  <c r="G308"/>
  <c r="J110"/>
  <c r="H132"/>
  <c r="G307"/>
  <c r="F146"/>
  <c r="H112"/>
  <c r="F279"/>
  <c r="H227"/>
  <c r="F132"/>
  <c r="G241"/>
  <c r="H235"/>
  <c r="F163"/>
  <c r="K99"/>
  <c r="J49"/>
  <c r="I10"/>
  <c r="K163"/>
  <c r="J312"/>
  <c r="J309"/>
  <c r="D73"/>
  <c r="D293" s="1"/>
  <c r="J275"/>
  <c r="E179"/>
  <c r="G168" l="1"/>
  <c r="K265"/>
  <c r="H265"/>
  <c r="I303"/>
  <c r="J303" s="1"/>
  <c r="K146"/>
  <c r="J99"/>
  <c r="I30"/>
  <c r="K30" s="1"/>
  <c r="J132"/>
  <c r="I302"/>
  <c r="J302" s="1"/>
  <c r="F99"/>
  <c r="K28"/>
  <c r="H134"/>
  <c r="K193"/>
  <c r="C197"/>
  <c r="K244"/>
  <c r="D97"/>
  <c r="K241"/>
  <c r="K11"/>
  <c r="I300"/>
  <c r="K275"/>
  <c r="C97"/>
  <c r="C160" s="1"/>
  <c r="F275"/>
  <c r="E210"/>
  <c r="E206" s="1"/>
  <c r="H206" s="1"/>
  <c r="H241"/>
  <c r="H123"/>
  <c r="F181"/>
  <c r="D9"/>
  <c r="D72" s="1"/>
  <c r="G273"/>
  <c r="J259"/>
  <c r="H251"/>
  <c r="K251"/>
  <c r="J256"/>
  <c r="J241"/>
  <c r="E297"/>
  <c r="H233"/>
  <c r="G233"/>
  <c r="G179"/>
  <c r="G180"/>
  <c r="K181"/>
  <c r="J123"/>
  <c r="F123"/>
  <c r="G119"/>
  <c r="J119"/>
  <c r="G298"/>
  <c r="K112"/>
  <c r="G110"/>
  <c r="I295"/>
  <c r="J92"/>
  <c r="K168"/>
  <c r="J41"/>
  <c r="J180"/>
  <c r="F198"/>
  <c r="H244"/>
  <c r="H307"/>
  <c r="J53"/>
  <c r="I299"/>
  <c r="J10"/>
  <c r="E189"/>
  <c r="H189" s="1"/>
  <c r="I52"/>
  <c r="J52" s="1"/>
  <c r="G146"/>
  <c r="E73"/>
  <c r="E293" s="1"/>
  <c r="E74"/>
  <c r="H18"/>
  <c r="E17"/>
  <c r="K47"/>
  <c r="H195"/>
  <c r="J244"/>
  <c r="H259"/>
  <c r="H247"/>
  <c r="F11"/>
  <c r="E10"/>
  <c r="F92"/>
  <c r="F75"/>
  <c r="H75"/>
  <c r="G18"/>
  <c r="F18"/>
  <c r="K18"/>
  <c r="J11"/>
  <c r="G11"/>
  <c r="J308"/>
  <c r="J310"/>
  <c r="J279"/>
  <c r="E306"/>
  <c r="C282"/>
  <c r="C295"/>
  <c r="D282"/>
  <c r="E282"/>
  <c r="E284" s="1"/>
  <c r="D299"/>
  <c r="C301"/>
  <c r="E301"/>
  <c r="K301" s="1"/>
  <c r="F251"/>
  <c r="C299"/>
  <c r="J30"/>
  <c r="H203"/>
  <c r="H312"/>
  <c r="G251"/>
  <c r="E299"/>
  <c r="D301"/>
  <c r="G301" s="1"/>
  <c r="I296"/>
  <c r="I294" s="1"/>
  <c r="I314" s="1"/>
  <c r="I197"/>
  <c r="K97"/>
  <c r="K227"/>
  <c r="J227"/>
  <c r="E295"/>
  <c r="C311"/>
  <c r="F311" s="1"/>
  <c r="K126"/>
  <c r="J126"/>
  <c r="I160"/>
  <c r="I161" s="1"/>
  <c r="H146"/>
  <c r="K203"/>
  <c r="K52"/>
  <c r="K263"/>
  <c r="D296"/>
  <c r="G126"/>
  <c r="H215"/>
  <c r="E197"/>
  <c r="K189"/>
  <c r="F179"/>
  <c r="G75"/>
  <c r="G74"/>
  <c r="C73"/>
  <c r="F74"/>
  <c r="K210"/>
  <c r="F298"/>
  <c r="H11"/>
  <c r="K10"/>
  <c r="K179"/>
  <c r="J193"/>
  <c r="J195"/>
  <c r="J211"/>
  <c r="H263"/>
  <c r="H143"/>
  <c r="K247"/>
  <c r="H99"/>
  <c r="G311"/>
  <c r="K311"/>
  <c r="J311"/>
  <c r="G92"/>
  <c r="F273"/>
  <c r="G163"/>
  <c r="H168"/>
  <c r="H310"/>
  <c r="K312"/>
  <c r="K259"/>
  <c r="I74"/>
  <c r="I73" s="1"/>
  <c r="F297"/>
  <c r="G101"/>
  <c r="H298"/>
  <c r="G302"/>
  <c r="J190"/>
  <c r="G85"/>
  <c r="J139"/>
  <c r="I298"/>
  <c r="K298" s="1"/>
  <c r="I282"/>
  <c r="I284" s="1"/>
  <c r="J18"/>
  <c r="F190"/>
  <c r="G190" s="1"/>
  <c r="D197"/>
  <c r="G197" s="1"/>
  <c r="H179"/>
  <c r="J179"/>
  <c r="H73"/>
  <c r="H180"/>
  <c r="K180"/>
  <c r="D89"/>
  <c r="H309"/>
  <c r="K309"/>
  <c r="J313"/>
  <c r="H313"/>
  <c r="J233"/>
  <c r="K233"/>
  <c r="H300"/>
  <c r="J300"/>
  <c r="G300"/>
  <c r="H74"/>
  <c r="I185"/>
  <c r="H295"/>
  <c r="I305"/>
  <c r="J305" s="1"/>
  <c r="F180"/>
  <c r="G181"/>
  <c r="C189"/>
  <c r="C185" s="1"/>
  <c r="C222" s="1"/>
  <c r="K195"/>
  <c r="H198"/>
  <c r="F224"/>
  <c r="J97"/>
  <c r="H311"/>
  <c r="G265"/>
  <c r="J168"/>
  <c r="G279"/>
  <c r="I46"/>
  <c r="K26"/>
  <c r="I23"/>
  <c r="K307"/>
  <c r="F302"/>
  <c r="J31"/>
  <c r="J273"/>
  <c r="I17"/>
  <c r="K304"/>
  <c r="H126"/>
  <c r="K198"/>
  <c r="F265"/>
  <c r="K273"/>
  <c r="H273"/>
  <c r="F235"/>
  <c r="H193"/>
  <c r="H101"/>
  <c r="I206"/>
  <c r="J24"/>
  <c r="F126"/>
  <c r="G132"/>
  <c r="F110"/>
  <c r="J75"/>
  <c r="K190"/>
  <c r="J265"/>
  <c r="K310"/>
  <c r="H308"/>
  <c r="H279"/>
  <c r="H256"/>
  <c r="H211"/>
  <c r="J181"/>
  <c r="H181"/>
  <c r="I68"/>
  <c r="K123"/>
  <c r="J198"/>
  <c r="H119"/>
  <c r="H139"/>
  <c r="H85"/>
  <c r="H110"/>
  <c r="K110"/>
  <c r="G112"/>
  <c r="G123"/>
  <c r="F85"/>
  <c r="G235"/>
  <c r="F227"/>
  <c r="H210" l="1"/>
  <c r="K206"/>
  <c r="J210"/>
  <c r="K303"/>
  <c r="K302"/>
  <c r="G297"/>
  <c r="K297"/>
  <c r="H297"/>
  <c r="J297"/>
  <c r="K295"/>
  <c r="D185"/>
  <c r="D222" s="1"/>
  <c r="D223" s="1"/>
  <c r="D225" s="1"/>
  <c r="D291" s="1"/>
  <c r="J189"/>
  <c r="E185"/>
  <c r="F185" s="1"/>
  <c r="J301"/>
  <c r="F301"/>
  <c r="H301"/>
  <c r="H299"/>
  <c r="G299"/>
  <c r="C296"/>
  <c r="C294" s="1"/>
  <c r="C314" s="1"/>
  <c r="K299"/>
  <c r="K73"/>
  <c r="G17"/>
  <c r="F17"/>
  <c r="H17"/>
  <c r="J299"/>
  <c r="E9"/>
  <c r="F10"/>
  <c r="G10"/>
  <c r="H10"/>
  <c r="E296"/>
  <c r="G296" s="1"/>
  <c r="D160"/>
  <c r="G73"/>
  <c r="E160"/>
  <c r="K160" s="1"/>
  <c r="G295"/>
  <c r="F295"/>
  <c r="J74"/>
  <c r="K74"/>
  <c r="J298"/>
  <c r="K197"/>
  <c r="C223"/>
  <c r="C225" s="1"/>
  <c r="C292"/>
  <c r="F299"/>
  <c r="J295"/>
  <c r="J282"/>
  <c r="I223"/>
  <c r="I225" s="1"/>
  <c r="K282"/>
  <c r="H302"/>
  <c r="I222"/>
  <c r="G282"/>
  <c r="F97"/>
  <c r="H97"/>
  <c r="G97"/>
  <c r="H197"/>
  <c r="J197"/>
  <c r="F197"/>
  <c r="F189"/>
  <c r="G189" s="1"/>
  <c r="G293"/>
  <c r="C89"/>
  <c r="F293"/>
  <c r="F73"/>
  <c r="I293"/>
  <c r="J293" s="1"/>
  <c r="J73"/>
  <c r="D284"/>
  <c r="G284" s="1"/>
  <c r="J306"/>
  <c r="G306"/>
  <c r="K306"/>
  <c r="H306"/>
  <c r="I9"/>
  <c r="K17"/>
  <c r="J17"/>
  <c r="H224"/>
  <c r="G224"/>
  <c r="H293"/>
  <c r="H282"/>
  <c r="H284" s="1"/>
  <c r="K305"/>
  <c r="J206"/>
  <c r="F306"/>
  <c r="K23"/>
  <c r="J23"/>
  <c r="J46"/>
  <c r="I45"/>
  <c r="K46"/>
  <c r="C161"/>
  <c r="I224"/>
  <c r="J224" s="1"/>
  <c r="J284"/>
  <c r="K284"/>
  <c r="D294"/>
  <c r="C284"/>
  <c r="F284" s="1"/>
  <c r="F282"/>
  <c r="D292" l="1"/>
  <c r="H185"/>
  <c r="E223"/>
  <c r="E225" s="1"/>
  <c r="E222"/>
  <c r="H222" s="1"/>
  <c r="G185"/>
  <c r="K185"/>
  <c r="J185"/>
  <c r="H160"/>
  <c r="G160"/>
  <c r="D161"/>
  <c r="E161"/>
  <c r="F296"/>
  <c r="H9"/>
  <c r="F9"/>
  <c r="E72"/>
  <c r="G9"/>
  <c r="E89"/>
  <c r="H296"/>
  <c r="E294"/>
  <c r="E314" s="1"/>
  <c r="J296"/>
  <c r="J160"/>
  <c r="F160"/>
  <c r="K296"/>
  <c r="K293"/>
  <c r="C291"/>
  <c r="K224"/>
  <c r="I89"/>
  <c r="K9"/>
  <c r="I72"/>
  <c r="J9"/>
  <c r="J45"/>
  <c r="K45"/>
  <c r="D314"/>
  <c r="H223" l="1"/>
  <c r="J223"/>
  <c r="G223"/>
  <c r="G222"/>
  <c r="K223"/>
  <c r="F223"/>
  <c r="F222"/>
  <c r="K222"/>
  <c r="J222"/>
  <c r="G161"/>
  <c r="H294"/>
  <c r="J161"/>
  <c r="K161"/>
  <c r="F161"/>
  <c r="J294"/>
  <c r="K294"/>
  <c r="H161"/>
  <c r="H72"/>
  <c r="F72"/>
  <c r="G72"/>
  <c r="G89"/>
  <c r="H89"/>
  <c r="G294"/>
  <c r="F89"/>
  <c r="E292"/>
  <c r="G292" s="1"/>
  <c r="K72"/>
  <c r="J72"/>
  <c r="I292"/>
  <c r="K89"/>
  <c r="J89"/>
  <c r="I291"/>
  <c r="K314"/>
  <c r="J314"/>
  <c r="G314"/>
  <c r="H314"/>
  <c r="J225"/>
  <c r="K225"/>
  <c r="G225"/>
  <c r="H225"/>
  <c r="E291"/>
  <c r="F291" s="1"/>
  <c r="F225"/>
  <c r="H292" l="1"/>
  <c r="K292"/>
  <c r="J292"/>
  <c r="F292"/>
  <c r="G291"/>
  <c r="K291"/>
  <c r="H291"/>
  <c r="J291"/>
  <c r="F294"/>
  <c r="F314"/>
</calcChain>
</file>

<file path=xl/sharedStrings.xml><?xml version="1.0" encoding="utf-8"?>
<sst xmlns="http://schemas.openxmlformats.org/spreadsheetml/2006/main" count="858" uniqueCount="346">
  <si>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</si>
  <si>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</si>
  <si>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</si>
  <si>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</si>
  <si>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</si>
  <si>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</si>
  <si>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</si>
  <si>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</si>
  <si>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</si>
  <si>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</si>
  <si>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</si>
  <si>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</si>
  <si>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</si>
  <si>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</si>
  <si>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</si>
  <si>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</si>
  <si>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</si>
  <si>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</si>
  <si>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</si>
  <si>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</si>
  <si>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</si>
  <si>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</si>
  <si>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</si>
  <si>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</si>
  <si>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</si>
  <si>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</si>
  <si>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</si>
  <si>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</si>
  <si>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</si>
  <si>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</si>
  <si>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</si>
  <si>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</si>
  <si>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</si>
  <si>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</si>
  <si>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</si>
  <si>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</si>
  <si>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</si>
  <si>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</si>
  <si>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</si>
  <si>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</si>
  <si>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</si>
  <si>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</si>
  <si>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</si>
  <si>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</si>
  <si>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</si>
  <si>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</si>
  <si>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</si>
  <si>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</si>
  <si>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</si>
  <si>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</si>
  <si>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</si>
  <si>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</si>
  <si>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</si>
  <si>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</si>
  <si>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</si>
  <si>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</si>
  <si>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</si>
  <si>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</si>
  <si>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</si>
  <si>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</si>
  <si>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</si>
  <si>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</si>
  <si>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</si>
  <si>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</si>
  <si>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</si>
  <si>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</si>
  <si>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</si>
  <si>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</si>
  <si>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</si>
  <si>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</si>
  <si>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</si>
  <si>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</si>
  <si>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</si>
  <si>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</si>
  <si>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</si>
  <si>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</si>
  <si>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</si>
  <si>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</si>
  <si>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</si>
  <si>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</si>
  <si>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</si>
  <si>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</si>
  <si>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</si>
  <si>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</si>
  <si>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</si>
  <si>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</si>
  <si>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</si>
  <si>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</si>
  <si>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</si>
  <si>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</si>
  <si>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</si>
  <si>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</si>
  <si>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</si>
  <si>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</si>
  <si>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</si>
  <si>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</si>
  <si>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</si>
  <si>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</si>
  <si>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</si>
  <si>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</si>
  <si>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</si>
  <si>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</si>
  <si>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</si>
  <si>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</si>
  <si>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</si>
  <si>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</si>
  <si>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</si>
  <si>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</si>
  <si>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</si>
  <si>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</si>
  <si>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</si>
  <si>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</si>
  <si>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</si>
  <si>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</si>
  <si>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</si>
  <si>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</si>
  <si>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</si>
  <si>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</si>
  <si>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</si>
  <si>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</si>
  <si>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</si>
  <si>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</si>
  <si>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</si>
  <si>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</si>
  <si>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</si>
  <si>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</si>
  <si>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</si>
  <si>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</si>
  <si>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</si>
  <si>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</si>
  <si>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</si>
  <si>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</si>
  <si>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</si>
  <si>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</si>
  <si>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</si>
  <si>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</si>
  <si>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</si>
  <si>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</si>
  <si>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</si>
  <si>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</si>
  <si>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</si>
  <si>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</si>
  <si>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</si>
  <si>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</si>
  <si>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</si>
  <si>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</si>
  <si>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</si>
  <si>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</si>
  <si>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</si>
  <si>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</si>
  <si>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</si>
  <si>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</si>
  <si>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</si>
  <si>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</si>
  <si>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</si>
  <si>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</si>
  <si>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</si>
  <si>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</si>
  <si>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</si>
  <si>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</si>
  <si>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</si>
  <si>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</si>
  <si>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</si>
  <si>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</si>
  <si>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</si>
  <si>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</si>
  <si>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</si>
  <si>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</si>
  <si>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</si>
  <si>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</si>
  <si>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</si>
  <si>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</si>
  <si>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</si>
  <si>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</si>
  <si>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</si>
  <si>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</si>
  <si>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</si>
  <si>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</si>
  <si>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</si>
  <si>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</si>
  <si>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</si>
  <si>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</si>
  <si>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</si>
  <si>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</si>
  <si>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</si>
  <si>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</si>
  <si>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</si>
  <si>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</si>
  <si>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</si>
  <si>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</si>
  <si>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</si>
  <si>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</si>
  <si>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</si>
  <si>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</si>
  <si>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</si>
  <si>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</si>
  <si>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</si>
  <si>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</si>
  <si>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</si>
  <si>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</si>
  <si>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</si>
  <si>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</si>
  <si>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</si>
  <si>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</si>
  <si>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</si>
  <si>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</si>
  <si>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</si>
  <si>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</si>
  <si>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</si>
  <si>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</si>
  <si>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</si>
  <si>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</si>
  <si>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</si>
  <si>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</si>
  <si>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</si>
  <si>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</si>
  <si>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</si>
  <si>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</si>
  <si>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</si>
  <si>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</si>
  <si>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</si>
  <si>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</si>
  <si>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</si>
  <si>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</si>
  <si>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</si>
  <si>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</si>
  <si>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</si>
  <si>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</si>
  <si>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</si>
  <si>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</si>
  <si>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</si>
  <si>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</si>
  <si>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</si>
  <si>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</si>
  <si>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</si>
  <si>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</si>
  <si>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</si>
  <si>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</si>
  <si>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</si>
  <si>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</si>
  <si>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</si>
  <si>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</si>
  <si>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</si>
  <si>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</si>
  <si>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</si>
  <si>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</si>
  <si>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</si>
  <si>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</si>
  <si>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</si>
  <si>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</si>
  <si>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</si>
  <si>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</si>
  <si>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</si>
  <si>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</si>
  <si>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</si>
  <si>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</si>
  <si>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</si>
  <si>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</si>
  <si>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</si>
  <si>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</si>
  <si>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</si>
  <si>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</si>
  <si>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</si>
  <si>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</si>
  <si>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</si>
  <si>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</si>
  <si>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</si>
  <si>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</si>
  <si>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</si>
  <si>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</si>
  <si>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</si>
  <si>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</si>
  <si>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</si>
  <si>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</si>
  <si>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</si>
  <si>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</si>
  <si>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</si>
  <si>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</si>
  <si>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</si>
  <si>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</si>
  <si>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</si>
  <si>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</si>
  <si>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</si>
  <si>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</si>
  <si>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</si>
  <si>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</si>
  <si>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</si>
  <si>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</si>
  <si>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</si>
  <si>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</si>
  <si>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</si>
  <si>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</si>
  <si>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</si>
  <si>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</si>
  <si>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</si>
  <si>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</si>
  <si>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</si>
  <si>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</si>
  <si>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</si>
  <si>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</si>
  <si>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</si>
  <si>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</si>
  <si>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</si>
  <si>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</si>
  <si>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</si>
  <si>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</si>
  <si>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</si>
  <si>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</si>
  <si>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</si>
  <si>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</si>
  <si>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про виконання  місцевого  бюджету Брацлавської селищної територіальної громади за 3 місяці ( І квартал) 2022 року</t>
  </si>
  <si>
    <t>Уточнений план на січень-березень місяць 2022 року, грн</t>
  </si>
  <si>
    <t>Фактичне виконання за січень-березень, грн.</t>
  </si>
  <si>
    <t xml:space="preserve"> до уточненого плану за 3 міс. %</t>
  </si>
  <si>
    <t>Відхилення (+,-)  від плану за 3 міс.,грн.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</si>
  <si>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</si>
  <si>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</si>
  <si>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</si>
  <si>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</si>
  <si>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</si>
  <si>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Уточнений план на січень-червень місяць 2022 року, грн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</si>
  <si>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</si>
  <si>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</si>
  <si>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</si>
  <si>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</si>
  <si>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0610160</t>
  </si>
  <si>
    <t>0910160</t>
  </si>
  <si>
    <t>3710160</t>
  </si>
  <si>
    <t>про виконання  місцевого  бюджету Брацлавської селищної територіальної громади за 6 місяців                              (  півріччя) 2022 року</t>
  </si>
  <si>
    <t>Фактичне виконання за січень-червень, грн.</t>
  </si>
  <si>
    <t xml:space="preserve"> до уточненого плану за 6 міс. %</t>
  </si>
  <si>
    <t>Відхилення (+,-)  від плану за 6 міс.,грн.</t>
  </si>
  <si>
    <t>2610</t>
  </si>
  <si>
    <t>Субсидії та поточні трансферти підприємствам (установам, організаціям)</t>
  </si>
  <si>
    <t>план</t>
  </si>
  <si>
    <t>факт</t>
  </si>
  <si>
    <t>брацл</t>
  </si>
  <si>
    <t>бугаків</t>
  </si>
  <si>
    <t>вишківці</t>
  </si>
  <si>
    <t>вовчок</t>
  </si>
  <si>
    <t>зяньківці</t>
  </si>
  <si>
    <t xml:space="preserve">новоселівка </t>
  </si>
  <si>
    <t>музична</t>
  </si>
  <si>
    <t>4--1</t>
  </si>
  <si>
    <t>4--2</t>
  </si>
  <si>
    <t>доходи</t>
  </si>
</sst>
</file>

<file path=xl/styles.xml><?xml version="1.0" encoding="utf-8"?>
<styleSheet xmlns="http://schemas.openxmlformats.org/spreadsheetml/2006/main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6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0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>
      <alignment horizontal="right" wrapText="1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3" fontId="20" fillId="4" borderId="6" xfId="0" applyNumberFormat="1" applyFont="1" applyFill="1" applyBorder="1" applyAlignment="1">
      <alignment horizontal="center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0" fontId="54" fillId="0" borderId="4" xfId="0" applyFont="1" applyBorder="1" applyAlignment="1" applyProtection="1">
      <alignment horizontal="center" vertical="top" wrapText="1"/>
    </xf>
    <xf numFmtId="0" fontId="55" fillId="0" borderId="4" xfId="0" applyFont="1" applyBorder="1" applyAlignment="1" applyProtection="1">
      <alignment horizontal="left" vertical="top" wrapText="1"/>
    </xf>
    <xf numFmtId="3" fontId="14" fillId="5" borderId="0" xfId="0" applyNumberFormat="1" applyFont="1" applyFill="1" applyBorder="1"/>
    <xf numFmtId="49" fontId="18" fillId="5" borderId="4" xfId="0" applyNumberFormat="1" applyFont="1" applyFill="1" applyBorder="1" applyAlignment="1">
      <alignment horizontal="left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3" fontId="35" fillId="5" borderId="6" xfId="0" applyNumberFormat="1" applyFont="1" applyFill="1" applyBorder="1" applyAlignment="1" applyProtection="1">
      <alignment horizontal="right" wrapText="1"/>
    </xf>
    <xf numFmtId="3" fontId="35" fillId="5" borderId="1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vertical="center" wrapText="1"/>
    </xf>
    <xf numFmtId="3" fontId="17" fillId="5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</xf>
    <xf numFmtId="3" fontId="45" fillId="5" borderId="4" xfId="0" applyNumberFormat="1" applyFont="1" applyFill="1" applyBorder="1" applyAlignment="1" applyProtection="1">
      <alignment horizontal="right" wrapText="1"/>
    </xf>
    <xf numFmtId="3" fontId="22" fillId="5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</xf>
    <xf numFmtId="3" fontId="30" fillId="5" borderId="4" xfId="0" applyNumberFormat="1" applyFont="1" applyFill="1" applyBorder="1" applyAlignment="1" applyProtection="1">
      <alignment horizontal="right" wrapText="1"/>
    </xf>
    <xf numFmtId="3" fontId="35" fillId="5" borderId="3" xfId="0" applyNumberFormat="1" applyFont="1" applyFill="1" applyBorder="1" applyAlignment="1" applyProtection="1">
      <alignment horizontal="right" wrapText="1"/>
    </xf>
    <xf numFmtId="3" fontId="16" fillId="5" borderId="3" xfId="0" applyNumberFormat="1" applyFont="1" applyFill="1" applyBorder="1" applyAlignment="1" applyProtection="1">
      <alignment horizontal="right" wrapText="1"/>
    </xf>
    <xf numFmtId="3" fontId="29" fillId="5" borderId="14" xfId="0" applyNumberFormat="1" applyFont="1" applyFill="1" applyBorder="1" applyAlignment="1" applyProtection="1">
      <alignment horizontal="right" wrapText="1"/>
    </xf>
    <xf numFmtId="3" fontId="16" fillId="5" borderId="4" xfId="0" applyNumberFormat="1" applyFont="1" applyFill="1" applyBorder="1" applyAlignment="1" applyProtection="1">
      <alignment horizontal="right" wrapText="1"/>
    </xf>
    <xf numFmtId="3" fontId="16" fillId="5" borderId="6" xfId="0" applyNumberFormat="1" applyFont="1" applyFill="1" applyBorder="1" applyAlignment="1" applyProtection="1">
      <alignment horizontal="right" wrapText="1"/>
    </xf>
    <xf numFmtId="3" fontId="45" fillId="5" borderId="6" xfId="0" applyNumberFormat="1" applyFont="1" applyFill="1" applyBorder="1" applyAlignment="1" applyProtection="1">
      <alignment horizontal="right" wrapText="1"/>
    </xf>
    <xf numFmtId="3" fontId="17" fillId="5" borderId="13" xfId="0" applyNumberFormat="1" applyFont="1" applyFill="1" applyBorder="1" applyAlignment="1" applyProtection="1">
      <alignment horizontal="right" wrapText="1"/>
    </xf>
    <xf numFmtId="3" fontId="45" fillId="5" borderId="13" xfId="0" applyNumberFormat="1" applyFont="1" applyFill="1" applyBorder="1" applyAlignment="1" applyProtection="1">
      <alignment horizontal="right" wrapText="1"/>
    </xf>
    <xf numFmtId="3" fontId="46" fillId="5" borderId="13" xfId="0" applyNumberFormat="1" applyFont="1" applyFill="1" applyBorder="1" applyAlignment="1" applyProtection="1">
      <alignment horizontal="right" wrapText="1"/>
    </xf>
    <xf numFmtId="3" fontId="18" fillId="7" borderId="4" xfId="0" applyNumberFormat="1" applyFont="1" applyFill="1" applyBorder="1" applyAlignment="1" applyProtection="1">
      <alignment horizontal="center" vertical="center"/>
    </xf>
    <xf numFmtId="16" fontId="0" fillId="0" borderId="0" xfId="0" applyNumberFormat="1"/>
    <xf numFmtId="0" fontId="0" fillId="0" borderId="0" xfId="0" applyAlignment="1">
      <alignment vertical="center"/>
    </xf>
    <xf numFmtId="0" fontId="49" fillId="0" borderId="0" xfId="0" applyFont="1"/>
    <xf numFmtId="0" fontId="0" fillId="10" borderId="0" xfId="0" applyFill="1"/>
    <xf numFmtId="3" fontId="22" fillId="5" borderId="6" xfId="0" applyNumberFormat="1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opLeftCell="B1" workbookViewId="0">
      <selection activeCell="K11" sqref="K11"/>
    </sheetView>
  </sheetViews>
  <sheetFormatPr defaultRowHeight="12.75"/>
  <cols>
    <col min="1" max="1" width="12.140625" customWidth="1"/>
    <col min="2" max="2" width="11.42578125" customWidth="1"/>
    <col min="3" max="4" width="10" customWidth="1"/>
    <col min="11" max="11" width="10" customWidth="1"/>
    <col min="16" max="16" width="12" customWidth="1"/>
    <col min="19" max="19" width="10.5703125" customWidth="1"/>
  </cols>
  <sheetData>
    <row r="1" spans="1:19">
      <c r="B1">
        <v>1010</v>
      </c>
      <c r="C1" s="655" t="s">
        <v>343</v>
      </c>
      <c r="D1" s="655"/>
      <c r="F1">
        <v>1010</v>
      </c>
      <c r="G1" s="655" t="s">
        <v>344</v>
      </c>
      <c r="K1">
        <v>1021</v>
      </c>
      <c r="L1" s="655" t="s">
        <v>343</v>
      </c>
      <c r="P1">
        <v>1021</v>
      </c>
      <c r="Q1" s="655" t="s">
        <v>344</v>
      </c>
    </row>
    <row r="2" spans="1:19" ht="31.5" customHeight="1">
      <c r="B2" s="656" t="s">
        <v>334</v>
      </c>
      <c r="C2" s="656" t="s">
        <v>335</v>
      </c>
      <c r="D2" s="656" t="s">
        <v>345</v>
      </c>
      <c r="E2" s="656"/>
      <c r="F2" s="656"/>
      <c r="G2" s="656"/>
      <c r="H2" s="656"/>
      <c r="I2" s="656"/>
      <c r="J2" s="656"/>
      <c r="K2" s="656" t="s">
        <v>334</v>
      </c>
      <c r="L2" s="656" t="s">
        <v>335</v>
      </c>
      <c r="M2" s="656" t="s">
        <v>345</v>
      </c>
      <c r="N2" s="656"/>
      <c r="O2" s="656"/>
      <c r="P2" s="656" t="s">
        <v>334</v>
      </c>
      <c r="Q2" s="656" t="s">
        <v>335</v>
      </c>
    </row>
    <row r="3" spans="1:19">
      <c r="A3" t="s">
        <v>336</v>
      </c>
      <c r="B3" s="657">
        <v>216000</v>
      </c>
      <c r="C3" s="657">
        <v>15740.81</v>
      </c>
      <c r="D3" s="657">
        <v>50109.1</v>
      </c>
      <c r="K3" s="657">
        <v>581160</v>
      </c>
      <c r="L3" s="657">
        <v>66866.559999999998</v>
      </c>
      <c r="M3" s="657">
        <v>71271.509999999995</v>
      </c>
      <c r="P3" s="657">
        <v>96534.3</v>
      </c>
      <c r="Q3" s="657">
        <v>96534.3</v>
      </c>
      <c r="R3" s="657">
        <v>96534.3</v>
      </c>
    </row>
    <row r="4" spans="1:19">
      <c r="A4" t="s">
        <v>337</v>
      </c>
      <c r="B4" s="657">
        <v>62376.63</v>
      </c>
      <c r="C4" s="657">
        <v>3029.54</v>
      </c>
      <c r="D4" s="657">
        <v>8125.33</v>
      </c>
      <c r="K4" s="657">
        <v>87237.31</v>
      </c>
      <c r="L4" s="657">
        <v>16192.48</v>
      </c>
      <c r="M4" s="657">
        <v>15471.98</v>
      </c>
      <c r="P4" s="657">
        <v>72191.87</v>
      </c>
      <c r="Q4" s="657">
        <v>72191.87</v>
      </c>
      <c r="R4" s="657">
        <v>72191.87</v>
      </c>
    </row>
    <row r="5" spans="1:19">
      <c r="A5" t="s">
        <v>338</v>
      </c>
      <c r="B5" s="657">
        <v>21613.35</v>
      </c>
      <c r="C5" s="657">
        <v>2138.08</v>
      </c>
      <c r="D5" s="657">
        <v>1953.75</v>
      </c>
      <c r="K5" s="657">
        <v>20000</v>
      </c>
      <c r="L5" s="657">
        <v>3756.26</v>
      </c>
      <c r="M5" s="657">
        <v>6702</v>
      </c>
    </row>
    <row r="6" spans="1:19">
      <c r="A6" t="s">
        <v>339</v>
      </c>
      <c r="B6" s="657">
        <v>34137.160000000003</v>
      </c>
      <c r="C6" s="657">
        <v>0</v>
      </c>
      <c r="D6" s="657">
        <v>6252.64</v>
      </c>
      <c r="K6" s="657">
        <v>105010.44</v>
      </c>
      <c r="L6" s="657">
        <v>18157.32</v>
      </c>
      <c r="M6" s="657">
        <v>18200</v>
      </c>
    </row>
    <row r="7" spans="1:19">
      <c r="A7" t="s">
        <v>340</v>
      </c>
      <c r="K7" s="657">
        <v>43754.15</v>
      </c>
      <c r="L7" s="657">
        <v>5202.05</v>
      </c>
      <c r="M7" s="657">
        <v>5350</v>
      </c>
      <c r="P7" s="657">
        <v>65.52</v>
      </c>
    </row>
    <row r="8" spans="1:19">
      <c r="A8" t="s">
        <v>341</v>
      </c>
      <c r="K8" s="657">
        <v>170141.25</v>
      </c>
      <c r="L8" s="657">
        <v>21142.07</v>
      </c>
      <c r="M8" s="657">
        <v>0</v>
      </c>
      <c r="P8" s="657">
        <v>129780.97</v>
      </c>
      <c r="Q8" s="657">
        <v>6705.41</v>
      </c>
      <c r="R8" s="657">
        <v>99029.6</v>
      </c>
    </row>
    <row r="9" spans="1:19" ht="19.5" customHeight="1">
      <c r="B9">
        <f>SUM(B3:B8)</f>
        <v>334127.14</v>
      </c>
      <c r="C9">
        <f>SUM(C3:C8)</f>
        <v>20908.43</v>
      </c>
      <c r="E9" s="658">
        <v>20908.43</v>
      </c>
      <c r="F9">
        <f>SUM(C9-E9)</f>
        <v>0</v>
      </c>
      <c r="K9">
        <f>SUM(K3:K8)</f>
        <v>1007303.15</v>
      </c>
      <c r="L9">
        <f>SUM(L3:L8)</f>
        <v>131316.74</v>
      </c>
      <c r="P9">
        <f>SUM(P3:P8)</f>
        <v>298572.65999999997</v>
      </c>
      <c r="Q9">
        <f>SUM(Q3:Q8)</f>
        <v>175431.58</v>
      </c>
      <c r="S9" s="658">
        <v>306748.05</v>
      </c>
    </row>
    <row r="10" spans="1:19" ht="40.5" customHeight="1">
      <c r="K10">
        <f>SUM(K9+P9)</f>
        <v>1305875.81</v>
      </c>
      <c r="S10">
        <f>SUM(L9+Q9)</f>
        <v>306748.31999999995</v>
      </c>
    </row>
    <row r="11" spans="1:19">
      <c r="A11" t="s">
        <v>342</v>
      </c>
      <c r="B11" s="658">
        <v>60000</v>
      </c>
      <c r="C11" s="658">
        <v>32010.36</v>
      </c>
      <c r="D11" s="658"/>
      <c r="E11">
        <v>22958</v>
      </c>
    </row>
    <row r="16" spans="1:19">
      <c r="B16">
        <f>SUM(B9+K9+P9+B11)</f>
        <v>1700002.95</v>
      </c>
      <c r="C16" s="657">
        <f>SUM(C9+L9+Q9+C11)</f>
        <v>359667.11</v>
      </c>
      <c r="D16" s="657"/>
    </row>
    <row r="18" spans="2:5">
      <c r="B18">
        <v>60000</v>
      </c>
      <c r="C18">
        <v>60000</v>
      </c>
      <c r="E18">
        <f>SUM(C16:C18)</f>
        <v>419667.11</v>
      </c>
    </row>
    <row r="20" spans="2:5">
      <c r="C20" s="658">
        <v>419666.84</v>
      </c>
      <c r="D20" s="6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58"/>
  <sheetViews>
    <sheetView tabSelected="1" view="pageBreakPreview" zoomScale="77" zoomScaleSheetLayoutView="77" workbookViewId="0">
      <pane xSplit="1" ySplit="6" topLeftCell="B302" activePane="bottomRight" state="frozen"/>
      <selection pane="topRight" activeCell="B1" sqref="B1"/>
      <selection pane="bottomLeft" activeCell="A7" sqref="A7"/>
      <selection pane="bottomRight" activeCell="F320" sqref="F320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17" t="s">
        <v>309</v>
      </c>
      <c r="G1" s="618"/>
      <c r="H1" s="618"/>
      <c r="I1" s="619"/>
      <c r="J1" s="620"/>
      <c r="K1" s="620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58.5" customHeight="1">
      <c r="B3" s="616" t="s">
        <v>328</v>
      </c>
      <c r="C3" s="616"/>
      <c r="D3" s="616"/>
      <c r="E3" s="616"/>
      <c r="F3" s="616"/>
      <c r="G3" s="616"/>
      <c r="H3" s="468"/>
      <c r="I3" s="468"/>
    </row>
    <row r="4" spans="1:25" ht="13.5" customHeight="1">
      <c r="B4" s="112"/>
      <c r="C4" s="42"/>
      <c r="D4" s="621"/>
      <c r="E4" s="621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29" t="s">
        <v>9</v>
      </c>
      <c r="B5" s="631" t="s">
        <v>8</v>
      </c>
      <c r="C5" s="633" t="s">
        <v>286</v>
      </c>
      <c r="D5" s="635" t="s">
        <v>320</v>
      </c>
      <c r="E5" s="626" t="s">
        <v>329</v>
      </c>
      <c r="F5" s="622" t="s">
        <v>52</v>
      </c>
      <c r="G5" s="623"/>
      <c r="H5" s="624" t="s">
        <v>331</v>
      </c>
      <c r="I5" s="626" t="s">
        <v>251</v>
      </c>
      <c r="J5" s="627" t="s">
        <v>250</v>
      </c>
      <c r="K5" s="628"/>
    </row>
    <row r="6" spans="1:25" ht="54.75" customHeight="1">
      <c r="A6" s="630"/>
      <c r="B6" s="632"/>
      <c r="C6" s="634"/>
      <c r="D6" s="625"/>
      <c r="E6" s="625"/>
      <c r="F6" s="25" t="s">
        <v>281</v>
      </c>
      <c r="G6" s="26" t="s">
        <v>330</v>
      </c>
      <c r="H6" s="625"/>
      <c r="I6" s="625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601"/>
      <c r="D7" s="600"/>
      <c r="E7" s="600"/>
      <c r="F7" s="25"/>
      <c r="G7" s="26"/>
      <c r="H7" s="600"/>
      <c r="I7" s="600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SUM(C10+C17+C23+C31)</f>
        <v>35609178</v>
      </c>
      <c r="D9" s="325">
        <f t="shared" ref="D9:E9" si="0">SUM(D10+D17+D23+D31)</f>
        <v>11991053</v>
      </c>
      <c r="E9" s="325">
        <f t="shared" si="0"/>
        <v>12670753</v>
      </c>
      <c r="F9" s="150">
        <f t="shared" ref="F9:F31" si="1">IF(C9=0,"",E9/C9*100)</f>
        <v>35.582829235766127</v>
      </c>
      <c r="G9" s="515">
        <f t="shared" ref="G9:G50" si="2">IF(D9=0,"",E9/D9*100)</f>
        <v>105.66839292595904</v>
      </c>
      <c r="H9" s="525">
        <f>E9-D9</f>
        <v>679700</v>
      </c>
      <c r="I9" s="149">
        <f>I10+I17+I23+I31</f>
        <v>112579.102</v>
      </c>
      <c r="J9" s="151">
        <f>E9-I9</f>
        <v>12558173.898</v>
      </c>
      <c r="K9" s="152">
        <f t="shared" ref="K9:K14" si="3">E9/I9*100-100</f>
        <v>11154.977855481562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7977246</v>
      </c>
      <c r="E10" s="325">
        <f t="shared" si="4"/>
        <v>8081803</v>
      </c>
      <c r="F10" s="150">
        <f t="shared" si="1"/>
        <v>34.875697816849794</v>
      </c>
      <c r="G10" s="515">
        <f t="shared" si="2"/>
        <v>101.3106904312591</v>
      </c>
      <c r="H10" s="525">
        <f t="shared" ref="H10:H67" si="5">E10-D10</f>
        <v>104557</v>
      </c>
      <c r="I10" s="149">
        <f>I11+I15</f>
        <v>71592.739000000001</v>
      </c>
      <c r="J10" s="151">
        <f t="shared" ref="J10:J52" si="6">E10-I10</f>
        <v>8010210.2609999999</v>
      </c>
      <c r="K10" s="152">
        <f t="shared" si="3"/>
        <v>11188.57913928953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7977246</v>
      </c>
      <c r="E11" s="327">
        <f>SUM(E12+E13+E14)</f>
        <v>8081803</v>
      </c>
      <c r="F11" s="154">
        <f t="shared" si="1"/>
        <v>34.875998820176875</v>
      </c>
      <c r="G11" s="516">
        <f t="shared" si="2"/>
        <v>101.3106904312591</v>
      </c>
      <c r="H11" s="472">
        <f>E11-D11</f>
        <v>104557</v>
      </c>
      <c r="I11" s="153">
        <f>SUM(I12:I14)</f>
        <v>71592.739000000001</v>
      </c>
      <c r="J11" s="151">
        <f t="shared" si="6"/>
        <v>8010210.2609999999</v>
      </c>
      <c r="K11" s="155">
        <f t="shared" si="3"/>
        <v>11188.57913928953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7949610</v>
      </c>
      <c r="E12" s="331">
        <v>7635097</v>
      </c>
      <c r="F12" s="156">
        <f t="shared" si="1"/>
        <v>43.383434170836054</v>
      </c>
      <c r="G12" s="517">
        <f t="shared" si="2"/>
        <v>96.043667550986783</v>
      </c>
      <c r="H12" s="636">
        <f t="shared" si="5"/>
        <v>-314513</v>
      </c>
      <c r="I12" s="157">
        <v>61819.154000000002</v>
      </c>
      <c r="J12" s="158">
        <f t="shared" si="6"/>
        <v>7573277.8459999999</v>
      </c>
      <c r="K12" s="159">
        <f t="shared" si="3"/>
        <v>12250.697972993936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397638</v>
      </c>
      <c r="F13" s="156">
        <f t="shared" si="1"/>
        <v>7.231580509479449</v>
      </c>
      <c r="G13" s="517">
        <v>0</v>
      </c>
      <c r="H13" s="636">
        <f t="shared" si="5"/>
        <v>397638</v>
      </c>
      <c r="I13" s="157">
        <v>8985.9359999999997</v>
      </c>
      <c r="J13" s="158">
        <f t="shared" si="6"/>
        <v>388652.06400000001</v>
      </c>
      <c r="K13" s="159">
        <f t="shared" si="3"/>
        <v>4325.114979674905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27636</v>
      </c>
      <c r="E14" s="332">
        <v>49068</v>
      </c>
      <c r="F14" s="156">
        <f t="shared" si="1"/>
        <v>65.22744795682344</v>
      </c>
      <c r="G14" s="517">
        <f t="shared" si="2"/>
        <v>177.55102040816325</v>
      </c>
      <c r="H14" s="636">
        <f t="shared" si="5"/>
        <v>21432</v>
      </c>
      <c r="I14" s="157">
        <v>787.649</v>
      </c>
      <c r="J14" s="158">
        <f t="shared" si="6"/>
        <v>48280.351000000002</v>
      </c>
      <c r="K14" s="159">
        <f t="shared" si="3"/>
        <v>6129.6784481412406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525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636">
        <f t="shared" si="5"/>
        <v>0</v>
      </c>
      <c r="I16" s="163"/>
      <c r="J16" s="158">
        <f t="shared" si="6"/>
        <v>0</v>
      </c>
      <c r="K16" s="159" t="e">
        <f t="shared" ref="K16:K31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101895</v>
      </c>
      <c r="E17" s="325">
        <f t="shared" si="8"/>
        <v>432962</v>
      </c>
      <c r="F17" s="164">
        <f t="shared" si="1"/>
        <v>66.097738587216213</v>
      </c>
      <c r="G17" s="520">
        <f t="shared" si="2"/>
        <v>424.90995632759211</v>
      </c>
      <c r="H17" s="525">
        <f t="shared" si="5"/>
        <v>331067</v>
      </c>
      <c r="I17" s="149">
        <f>I18+I21</f>
        <v>18.91</v>
      </c>
      <c r="J17" s="151">
        <f t="shared" si="6"/>
        <v>432943.09</v>
      </c>
      <c r="K17" s="161">
        <f t="shared" si="7"/>
        <v>2289492.8080380755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22896</v>
      </c>
      <c r="E18" s="325">
        <f>SUM(E19+E20)</f>
        <v>327707</v>
      </c>
      <c r="F18" s="164">
        <f t="shared" si="1"/>
        <v>111.83241535111968</v>
      </c>
      <c r="G18" s="520">
        <f t="shared" si="2"/>
        <v>1431.2849406009784</v>
      </c>
      <c r="H18" s="525">
        <f t="shared" si="5"/>
        <v>304811</v>
      </c>
      <c r="I18" s="149">
        <f>I20</f>
        <v>1.1259999999999999</v>
      </c>
      <c r="J18" s="151">
        <f t="shared" si="6"/>
        <v>327705.87400000001</v>
      </c>
      <c r="K18" s="161">
        <f t="shared" si="7"/>
        <v>29103541.207815275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20650</v>
      </c>
      <c r="E19" s="335">
        <v>304935</v>
      </c>
      <c r="F19" s="162">
        <f t="shared" si="1"/>
        <v>108.59972648403777</v>
      </c>
      <c r="G19" s="520">
        <f t="shared" si="2"/>
        <v>1476.6828087167071</v>
      </c>
      <c r="H19" s="525">
        <f t="shared" si="5"/>
        <v>284285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2246</v>
      </c>
      <c r="E20" s="335">
        <v>22772</v>
      </c>
      <c r="F20" s="162">
        <f t="shared" si="1"/>
        <v>185.95459741956557</v>
      </c>
      <c r="G20" s="521">
        <f t="shared" si="2"/>
        <v>1013.8913624220837</v>
      </c>
      <c r="H20" s="636">
        <f t="shared" si="5"/>
        <v>20526</v>
      </c>
      <c r="I20" s="165">
        <v>1.1259999999999999</v>
      </c>
      <c r="J20" s="158">
        <f t="shared" si="6"/>
        <v>22770.874</v>
      </c>
      <c r="K20" s="166">
        <f t="shared" si="7"/>
        <v>2022280.1065719363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78999</v>
      </c>
      <c r="E21" s="325">
        <f>SUM(E22)</f>
        <v>105255</v>
      </c>
      <c r="F21" s="164">
        <f t="shared" si="1"/>
        <v>29.076047171401026</v>
      </c>
      <c r="G21" s="520">
        <f t="shared" si="2"/>
        <v>133.23586374511069</v>
      </c>
      <c r="H21" s="525">
        <f t="shared" si="5"/>
        <v>26256</v>
      </c>
      <c r="I21" s="149">
        <f>I22</f>
        <v>17.783999999999999</v>
      </c>
      <c r="J21" s="151">
        <f t="shared" si="6"/>
        <v>105237.216</v>
      </c>
      <c r="K21" s="161">
        <f t="shared" si="7"/>
        <v>591752.22672064789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78999</v>
      </c>
      <c r="E22" s="332">
        <v>105255</v>
      </c>
      <c r="F22" s="162">
        <f t="shared" si="1"/>
        <v>29.076047171401026</v>
      </c>
      <c r="G22" s="521">
        <f t="shared" si="2"/>
        <v>133.23586374511069</v>
      </c>
      <c r="H22" s="636">
        <f t="shared" si="5"/>
        <v>26256</v>
      </c>
      <c r="I22" s="157">
        <v>17.783999999999999</v>
      </c>
      <c r="J22" s="158">
        <f t="shared" si="6"/>
        <v>105237.216</v>
      </c>
      <c r="K22" s="166">
        <f t="shared" si="7"/>
        <v>591752.22672064789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322000</v>
      </c>
      <c r="E23" s="334">
        <f t="shared" si="9"/>
        <v>434683</v>
      </c>
      <c r="F23" s="164">
        <f t="shared" si="1"/>
        <v>52.443856215931874</v>
      </c>
      <c r="G23" s="520">
        <f t="shared" si="2"/>
        <v>134.99472049689442</v>
      </c>
      <c r="H23" s="525">
        <f t="shared" si="5"/>
        <v>112683</v>
      </c>
      <c r="I23" s="160">
        <f>I24+I26+I28</f>
        <v>11418.473</v>
      </c>
      <c r="J23" s="151">
        <f t="shared" si="6"/>
        <v>423264.527</v>
      </c>
      <c r="K23" s="161">
        <f t="shared" si="7"/>
        <v>3706.8400214284347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38000</v>
      </c>
      <c r="E24" s="334">
        <f t="shared" si="10"/>
        <v>21908</v>
      </c>
      <c r="F24" s="164">
        <f t="shared" si="1"/>
        <v>18.135161087381213</v>
      </c>
      <c r="G24" s="520">
        <f t="shared" si="2"/>
        <v>57.652631578947364</v>
      </c>
      <c r="H24" s="525">
        <f t="shared" si="5"/>
        <v>-16092</v>
      </c>
      <c r="I24" s="160">
        <f>I25</f>
        <v>1594.6759999999999</v>
      </c>
      <c r="J24" s="151">
        <f t="shared" si="6"/>
        <v>20313.324000000001</v>
      </c>
      <c r="K24" s="161">
        <f t="shared" si="7"/>
        <v>1273.8213906774795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38000</v>
      </c>
      <c r="E25" s="330">
        <v>21908</v>
      </c>
      <c r="F25" s="162">
        <f>IF(C25=0,"",E25/C25*100)</f>
        <v>18.135161087381213</v>
      </c>
      <c r="G25" s="521">
        <f>IF(D25=0,"",E25/D25*100)</f>
        <v>57.652631578947364</v>
      </c>
      <c r="H25" s="636">
        <f>E25-D25</f>
        <v>-16092</v>
      </c>
      <c r="I25" s="167">
        <v>1594.6759999999999</v>
      </c>
      <c r="J25" s="158">
        <f t="shared" si="6"/>
        <v>20313.324000000001</v>
      </c>
      <c r="K25" s="159">
        <f t="shared" si="7"/>
        <v>1273.8213906774795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172000</v>
      </c>
      <c r="E26" s="334">
        <f t="shared" si="11"/>
        <v>74200</v>
      </c>
      <c r="F26" s="168">
        <f t="shared" si="1"/>
        <v>17.575400124591113</v>
      </c>
      <c r="G26" s="522">
        <f t="shared" si="2"/>
        <v>43.139534883720934</v>
      </c>
      <c r="H26" s="525">
        <f t="shared" si="5"/>
        <v>-97800</v>
      </c>
      <c r="I26" s="160">
        <f>I27</f>
        <v>6561.1270000000004</v>
      </c>
      <c r="J26" s="151">
        <f t="shared" si="6"/>
        <v>67638.872999999992</v>
      </c>
      <c r="K26" s="161">
        <f t="shared" si="7"/>
        <v>1030.903273172429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172000</v>
      </c>
      <c r="E27" s="330">
        <v>74200</v>
      </c>
      <c r="F27" s="162">
        <f t="shared" si="1"/>
        <v>17.575400124591113</v>
      </c>
      <c r="G27" s="519">
        <f t="shared" si="2"/>
        <v>43.139534883720934</v>
      </c>
      <c r="H27" s="636">
        <f t="shared" si="5"/>
        <v>-97800</v>
      </c>
      <c r="I27" s="163">
        <v>6561.1270000000004</v>
      </c>
      <c r="J27" s="158">
        <f t="shared" si="6"/>
        <v>67638.872999999992</v>
      </c>
      <c r="K27" s="159">
        <f t="shared" si="7"/>
        <v>1030.903273172429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SUM(C30+C29)</f>
        <v>285869</v>
      </c>
      <c r="D28" s="334">
        <f t="shared" ref="D28:E28" si="12">SUM(D30+D29)</f>
        <v>112000</v>
      </c>
      <c r="E28" s="334">
        <f t="shared" si="12"/>
        <v>338575</v>
      </c>
      <c r="F28" s="168">
        <f t="shared" si="1"/>
        <v>118.43711630152272</v>
      </c>
      <c r="G28" s="522">
        <f t="shared" si="2"/>
        <v>302.29910714285711</v>
      </c>
      <c r="H28" s="525">
        <f t="shared" si="5"/>
        <v>226575</v>
      </c>
      <c r="I28" s="160">
        <f>I30</f>
        <v>3262.67</v>
      </c>
      <c r="J28" s="151">
        <f t="shared" si="6"/>
        <v>335312.33</v>
      </c>
      <c r="K28" s="161">
        <f t="shared" si="7"/>
        <v>10277.237048184461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ht="112.5" customHeight="1">
      <c r="A29" s="611" t="s">
        <v>321</v>
      </c>
      <c r="B29" s="612" t="s">
        <v>322</v>
      </c>
      <c r="C29" s="330">
        <v>15000</v>
      </c>
      <c r="D29" s="330">
        <v>3000</v>
      </c>
      <c r="E29" s="330">
        <v>21139</v>
      </c>
      <c r="F29" s="156">
        <f t="shared" ref="F29" si="13">IF(C29=0,"",E29/C29*100)</f>
        <v>140.92666666666668</v>
      </c>
      <c r="G29" s="517">
        <f t="shared" ref="G29" si="14">IF(D29=0,"",E29/D29*100)</f>
        <v>704.63333333333333</v>
      </c>
      <c r="H29" s="636">
        <f t="shared" ref="H29" si="15">E29-D29</f>
        <v>18139</v>
      </c>
      <c r="I29" s="149"/>
      <c r="J29" s="151"/>
      <c r="K29" s="16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6" s="12" customFormat="1" ht="75.75" customHeight="1">
      <c r="A30" s="611" t="s">
        <v>323</v>
      </c>
      <c r="B30" s="612" t="s">
        <v>324</v>
      </c>
      <c r="C30" s="330">
        <v>270869</v>
      </c>
      <c r="D30" s="330">
        <v>109000</v>
      </c>
      <c r="E30" s="330">
        <v>317436</v>
      </c>
      <c r="F30" s="162">
        <f t="shared" si="1"/>
        <v>117.19170521543624</v>
      </c>
      <c r="G30" s="519">
        <f t="shared" si="2"/>
        <v>291.22568807339451</v>
      </c>
      <c r="H30" s="636">
        <f t="shared" si="5"/>
        <v>208436</v>
      </c>
      <c r="I30" s="169">
        <v>3262.67</v>
      </c>
      <c r="J30" s="158">
        <f t="shared" si="6"/>
        <v>314173.33</v>
      </c>
      <c r="K30" s="166">
        <f t="shared" si="7"/>
        <v>9629.3321114302089</v>
      </c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18.75" customHeight="1">
      <c r="A31" s="271">
        <v>18000000</v>
      </c>
      <c r="B31" s="324" t="s">
        <v>76</v>
      </c>
      <c r="C31" s="325">
        <f>SUM(C32+C42)</f>
        <v>10952126</v>
      </c>
      <c r="D31" s="325">
        <f t="shared" ref="D31:E31" si="16">SUM(D32+D42)</f>
        <v>3589912</v>
      </c>
      <c r="E31" s="325">
        <f t="shared" si="16"/>
        <v>3721305</v>
      </c>
      <c r="F31" s="164">
        <f t="shared" si="1"/>
        <v>33.977923555663985</v>
      </c>
      <c r="G31" s="496">
        <f t="shared" si="2"/>
        <v>103.66006186224064</v>
      </c>
      <c r="H31" s="525">
        <f t="shared" si="5"/>
        <v>131393</v>
      </c>
      <c r="I31" s="149">
        <f>I32+I42</f>
        <v>29548.98</v>
      </c>
      <c r="J31" s="151">
        <f t="shared" si="6"/>
        <v>3691756.02</v>
      </c>
      <c r="K31" s="161">
        <f t="shared" si="7"/>
        <v>12493.683436788682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24" customHeight="1">
      <c r="A32" s="271">
        <v>18010000</v>
      </c>
      <c r="B32" s="324" t="s">
        <v>77</v>
      </c>
      <c r="C32" s="325">
        <f>SUM(C33:C41)</f>
        <v>4147087</v>
      </c>
      <c r="D32" s="325">
        <f t="shared" ref="D32:E32" si="17">SUM(D33:D41)</f>
        <v>1387568</v>
      </c>
      <c r="E32" s="325">
        <f t="shared" si="17"/>
        <v>1398884</v>
      </c>
      <c r="F32" s="164">
        <f>IF(C32=0,"",E32/C32*100)</f>
        <v>33.731725425581857</v>
      </c>
      <c r="G32" s="496">
        <f>IF(D32=0,"",E32/D32*100)</f>
        <v>100.8155275993681</v>
      </c>
      <c r="H32" s="525">
        <f t="shared" si="5"/>
        <v>11316</v>
      </c>
      <c r="I32" s="149">
        <f>SUM(I33:I41)</f>
        <v>16174.295</v>
      </c>
      <c r="J32" s="151">
        <f>E32-I32</f>
        <v>1382709.7050000001</v>
      </c>
      <c r="K32" s="161">
        <f>E32/I32*100-100</f>
        <v>8548.8097317379215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5" s="12" customFormat="1" ht="50.25" customHeight="1">
      <c r="A33" s="272">
        <v>18010100</v>
      </c>
      <c r="B33" s="329" t="s">
        <v>78</v>
      </c>
      <c r="C33" s="330">
        <v>98188</v>
      </c>
      <c r="D33" s="330">
        <v>49000</v>
      </c>
      <c r="E33" s="332">
        <v>18633</v>
      </c>
      <c r="F33" s="164">
        <f>IF(C33=0,"",E33/C33*100)</f>
        <v>18.976860716177129</v>
      </c>
      <c r="G33" s="519">
        <f t="shared" si="2"/>
        <v>38.026530612244898</v>
      </c>
      <c r="H33" s="636">
        <f t="shared" si="5"/>
        <v>-30367</v>
      </c>
      <c r="I33" s="157">
        <v>11.871</v>
      </c>
      <c r="J33" s="158">
        <f t="shared" si="6"/>
        <v>18621.129000000001</v>
      </c>
      <c r="K33" s="159">
        <v>111.21594185729177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8.75" customHeight="1">
      <c r="A34" s="272">
        <v>18010200</v>
      </c>
      <c r="B34" s="329" t="s">
        <v>79</v>
      </c>
      <c r="C34" s="335">
        <v>125271</v>
      </c>
      <c r="D34" s="335">
        <v>72000</v>
      </c>
      <c r="E34" s="335">
        <v>21804</v>
      </c>
      <c r="F34" s="162">
        <f t="shared" ref="F34:F50" si="18">IF(C34=0,"",E34/C34*100)</f>
        <v>17.405464951984097</v>
      </c>
      <c r="G34" s="519">
        <f t="shared" si="2"/>
        <v>30.283333333333335</v>
      </c>
      <c r="H34" s="636">
        <f t="shared" si="5"/>
        <v>-50196</v>
      </c>
      <c r="I34" s="169">
        <v>284.78699999999998</v>
      </c>
      <c r="J34" s="158">
        <f t="shared" si="6"/>
        <v>21519.213</v>
      </c>
      <c r="K34" s="159">
        <f t="shared" ref="K34:K51" si="19">E34/I34*100-100</f>
        <v>7556.2483540330149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18010300</v>
      </c>
      <c r="B35" s="329" t="s">
        <v>80</v>
      </c>
      <c r="C35" s="335">
        <v>132097</v>
      </c>
      <c r="D35" s="335">
        <v>12000</v>
      </c>
      <c r="E35" s="335">
        <v>70032</v>
      </c>
      <c r="F35" s="162">
        <f t="shared" si="18"/>
        <v>53.015587030742559</v>
      </c>
      <c r="G35" s="519">
        <f t="shared" si="2"/>
        <v>583.6</v>
      </c>
      <c r="H35" s="636">
        <f t="shared" si="5"/>
        <v>58032</v>
      </c>
      <c r="I35" s="169">
        <v>201.63</v>
      </c>
      <c r="J35" s="158">
        <f t="shared" si="6"/>
        <v>69830.37</v>
      </c>
      <c r="K35" s="159">
        <f t="shared" si="19"/>
        <v>34632.92664782027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47.25" customHeight="1">
      <c r="A36" s="272">
        <v>18010400</v>
      </c>
      <c r="B36" s="329" t="s">
        <v>81</v>
      </c>
      <c r="C36" s="330">
        <v>208299</v>
      </c>
      <c r="D36" s="330">
        <v>89000</v>
      </c>
      <c r="E36" s="330">
        <v>85929</v>
      </c>
      <c r="F36" s="162">
        <f t="shared" si="18"/>
        <v>41.25271844800023</v>
      </c>
      <c r="G36" s="519">
        <f t="shared" si="2"/>
        <v>96.549438202247188</v>
      </c>
      <c r="H36" s="636">
        <f t="shared" si="5"/>
        <v>-3071</v>
      </c>
      <c r="I36" s="163">
        <v>919.50300000000004</v>
      </c>
      <c r="J36" s="158">
        <f t="shared" si="6"/>
        <v>85009.497000000003</v>
      </c>
      <c r="K36" s="159">
        <f t="shared" si="19"/>
        <v>9245.1571120485733</v>
      </c>
      <c r="L36" s="11"/>
      <c r="M36" s="11"/>
      <c r="N36" s="11"/>
      <c r="O36" s="11"/>
      <c r="P36" s="43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2" customFormat="1" ht="33.75" customHeight="1">
      <c r="A37" s="272">
        <v>18010500</v>
      </c>
      <c r="B37" s="329" t="s">
        <v>82</v>
      </c>
      <c r="C37" s="330">
        <v>311343</v>
      </c>
      <c r="D37" s="330">
        <v>140200</v>
      </c>
      <c r="E37" s="330">
        <v>136566</v>
      </c>
      <c r="F37" s="170">
        <f t="shared" si="18"/>
        <v>43.863520297549648</v>
      </c>
      <c r="G37" s="523">
        <f t="shared" si="2"/>
        <v>97.407988587731808</v>
      </c>
      <c r="H37" s="344">
        <f t="shared" si="5"/>
        <v>-3634</v>
      </c>
      <c r="I37" s="163">
        <v>5713.0889999999999</v>
      </c>
      <c r="J37" s="167">
        <f t="shared" si="6"/>
        <v>130852.91099999999</v>
      </c>
      <c r="K37" s="159">
        <f t="shared" si="19"/>
        <v>2290.4056106950197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s="11" customFormat="1" ht="24" customHeight="1">
      <c r="A38" s="272">
        <v>18010600</v>
      </c>
      <c r="B38" s="329" t="s">
        <v>83</v>
      </c>
      <c r="C38" s="330">
        <v>2370231</v>
      </c>
      <c r="D38" s="330">
        <v>939609</v>
      </c>
      <c r="E38" s="330">
        <v>1032355</v>
      </c>
      <c r="F38" s="170">
        <f>IF(C38=0,"",E38/C38*100)</f>
        <v>43.555037462593312</v>
      </c>
      <c r="G38" s="523">
        <f>IF(D38=0,"",E38/D38*100)</f>
        <v>109.87070153649017</v>
      </c>
      <c r="H38" s="344">
        <f t="shared" si="5"/>
        <v>92746</v>
      </c>
      <c r="I38" s="163">
        <v>8148.5140000000001</v>
      </c>
      <c r="J38" s="167">
        <f>E38-I38</f>
        <v>1024206.486</v>
      </c>
      <c r="K38" s="159">
        <f>E38/I38*100-100</f>
        <v>12569.242514647456</v>
      </c>
    </row>
    <row r="39" spans="1:25" s="16" customFormat="1" ht="28.5" customHeight="1" thickBot="1">
      <c r="A39" s="272">
        <v>18010700</v>
      </c>
      <c r="B39" s="329" t="s">
        <v>84</v>
      </c>
      <c r="C39" s="330">
        <v>495010</v>
      </c>
      <c r="D39" s="330">
        <v>12280</v>
      </c>
      <c r="E39" s="330">
        <v>10629</v>
      </c>
      <c r="F39" s="170">
        <f>IF(C39=0,"",E39/C39*100)</f>
        <v>2.1472293489020426</v>
      </c>
      <c r="G39" s="523">
        <f>IF(D39=0,"",E39/D39*100)</f>
        <v>86.555374592833871</v>
      </c>
      <c r="H39" s="344">
        <f t="shared" si="5"/>
        <v>-1651</v>
      </c>
      <c r="I39" s="171">
        <v>400.267</v>
      </c>
      <c r="J39" s="167">
        <f>E39-I39</f>
        <v>10228.733</v>
      </c>
      <c r="K39" s="159">
        <f>E39/I39*100-100</f>
        <v>2555.4774687895829</v>
      </c>
      <c r="L39" s="4"/>
      <c r="M39" s="2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4.75" customHeight="1">
      <c r="A40" s="272">
        <v>18010900</v>
      </c>
      <c r="B40" s="329" t="s">
        <v>85</v>
      </c>
      <c r="C40" s="330">
        <v>356648</v>
      </c>
      <c r="D40" s="330">
        <v>48479</v>
      </c>
      <c r="E40" s="330">
        <v>-2064</v>
      </c>
      <c r="F40" s="170">
        <f t="shared" si="18"/>
        <v>-0.57872187703281674</v>
      </c>
      <c r="G40" s="523">
        <f t="shared" si="2"/>
        <v>-4.257513562573485</v>
      </c>
      <c r="H40" s="344">
        <f t="shared" si="5"/>
        <v>-50543</v>
      </c>
      <c r="I40" s="163">
        <v>423.74200000000002</v>
      </c>
      <c r="J40" s="167">
        <f t="shared" si="6"/>
        <v>-2487.7420000000002</v>
      </c>
      <c r="K40" s="159">
        <f t="shared" si="19"/>
        <v>-587.0888417952433</v>
      </c>
      <c r="L40" s="19"/>
    </row>
    <row r="41" spans="1:25" s="12" customFormat="1" ht="30" customHeight="1">
      <c r="A41" s="272">
        <v>18011100</v>
      </c>
      <c r="B41" s="329" t="s">
        <v>86</v>
      </c>
      <c r="C41" s="330">
        <v>50000</v>
      </c>
      <c r="D41" s="330">
        <v>25000</v>
      </c>
      <c r="E41" s="330">
        <v>25000</v>
      </c>
      <c r="F41" s="170">
        <f t="shared" si="18"/>
        <v>50</v>
      </c>
      <c r="G41" s="523">
        <f t="shared" si="2"/>
        <v>100</v>
      </c>
      <c r="H41" s="344">
        <f t="shared" si="5"/>
        <v>0</v>
      </c>
      <c r="I41" s="163">
        <v>70.891999999999996</v>
      </c>
      <c r="J41" s="167">
        <f t="shared" si="6"/>
        <v>24929.108</v>
      </c>
      <c r="K41" s="159">
        <f t="shared" si="19"/>
        <v>35164.91000394967</v>
      </c>
      <c r="L41" s="15"/>
      <c r="M41" s="15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7" customHeight="1">
      <c r="A42" s="271">
        <v>18050000</v>
      </c>
      <c r="B42" s="324" t="s">
        <v>87</v>
      </c>
      <c r="C42" s="448">
        <f>SUM(C43:C45)</f>
        <v>6805039</v>
      </c>
      <c r="D42" s="448">
        <f t="shared" ref="D42:E42" si="20">SUM(D43:D45)</f>
        <v>2202344</v>
      </c>
      <c r="E42" s="448">
        <f t="shared" si="20"/>
        <v>2322421</v>
      </c>
      <c r="F42" s="449">
        <f t="shared" si="18"/>
        <v>34.127960177744754</v>
      </c>
      <c r="G42" s="524">
        <f t="shared" si="2"/>
        <v>105.45223634454925</v>
      </c>
      <c r="H42" s="525">
        <f t="shared" si="5"/>
        <v>120077</v>
      </c>
      <c r="I42" s="149">
        <f>SUM(I43:I45)</f>
        <v>13374.684999999999</v>
      </c>
      <c r="J42" s="151">
        <f t="shared" si="6"/>
        <v>2309046.3149999999</v>
      </c>
      <c r="K42" s="161">
        <f t="shared" si="19"/>
        <v>17264.304280811102</v>
      </c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4.75" customHeight="1">
      <c r="A43" s="272">
        <v>18050300</v>
      </c>
      <c r="B43" s="329" t="s">
        <v>88</v>
      </c>
      <c r="C43" s="338">
        <v>148848</v>
      </c>
      <c r="D43" s="335">
        <v>36000</v>
      </c>
      <c r="E43" s="338">
        <v>27911</v>
      </c>
      <c r="F43" s="162">
        <f t="shared" si="18"/>
        <v>18.751343652585188</v>
      </c>
      <c r="G43" s="519">
        <f t="shared" si="2"/>
        <v>77.530555555555551</v>
      </c>
      <c r="H43" s="636">
        <f t="shared" si="5"/>
        <v>-8089</v>
      </c>
      <c r="I43" s="169">
        <v>2056.0129999999999</v>
      </c>
      <c r="J43" s="151">
        <f t="shared" si="6"/>
        <v>25854.987000000001</v>
      </c>
      <c r="K43" s="159">
        <f t="shared" si="19"/>
        <v>1257.530326899684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23.25" customHeight="1">
      <c r="A44" s="272">
        <v>18050400</v>
      </c>
      <c r="B44" s="329" t="s">
        <v>89</v>
      </c>
      <c r="C44" s="335">
        <v>3979858</v>
      </c>
      <c r="D44" s="335">
        <v>1406144</v>
      </c>
      <c r="E44" s="335">
        <v>1698068</v>
      </c>
      <c r="F44" s="162">
        <f t="shared" si="18"/>
        <v>42.666547399429824</v>
      </c>
      <c r="G44" s="519">
        <f t="shared" si="2"/>
        <v>120.7606048882618</v>
      </c>
      <c r="H44" s="636">
        <f t="shared" si="5"/>
        <v>291924</v>
      </c>
      <c r="I44" s="169">
        <v>9354.0759999999991</v>
      </c>
      <c r="J44" s="151">
        <f t="shared" si="6"/>
        <v>1688713.9240000001</v>
      </c>
      <c r="K44" s="159">
        <f t="shared" si="19"/>
        <v>18053.241431863502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12" customFormat="1" ht="84.75" customHeight="1">
      <c r="A45" s="272">
        <v>18050500</v>
      </c>
      <c r="B45" s="329" t="s">
        <v>90</v>
      </c>
      <c r="C45" s="335">
        <v>2676333</v>
      </c>
      <c r="D45" s="335">
        <v>760200</v>
      </c>
      <c r="E45" s="335">
        <v>596442</v>
      </c>
      <c r="F45" s="162">
        <f t="shared" si="18"/>
        <v>22.285791790483472</v>
      </c>
      <c r="G45" s="519">
        <f t="shared" si="2"/>
        <v>78.458563535911608</v>
      </c>
      <c r="H45" s="636">
        <f t="shared" si="5"/>
        <v>-163758</v>
      </c>
      <c r="I45" s="169">
        <v>1964.596</v>
      </c>
      <c r="J45" s="151">
        <f t="shared" si="6"/>
        <v>594477.40399999998</v>
      </c>
      <c r="K45" s="159">
        <f t="shared" si="19"/>
        <v>30259.524299143435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4" customFormat="1" ht="29.25" customHeight="1">
      <c r="A46" s="271">
        <v>20000000</v>
      </c>
      <c r="B46" s="324" t="s">
        <v>95</v>
      </c>
      <c r="C46" s="448">
        <f>SUM(C47+C53+C69)</f>
        <v>895227</v>
      </c>
      <c r="D46" s="448">
        <f>SUM(D47+D53+D69)</f>
        <v>223164</v>
      </c>
      <c r="E46" s="448">
        <f t="shared" ref="E46" si="21">SUM(E47+E53+E69)</f>
        <v>290798</v>
      </c>
      <c r="F46" s="449">
        <f t="shared" si="18"/>
        <v>32.483157902967633</v>
      </c>
      <c r="G46" s="524">
        <f t="shared" si="2"/>
        <v>130.30685952931475</v>
      </c>
      <c r="H46" s="525">
        <f t="shared" si="5"/>
        <v>67634</v>
      </c>
      <c r="I46" s="149">
        <f>I47+I53+I69</f>
        <v>1680.7539999999999</v>
      </c>
      <c r="J46" s="151">
        <f t="shared" si="6"/>
        <v>289117.24599999998</v>
      </c>
      <c r="K46" s="161">
        <f t="shared" si="19"/>
        <v>17201.639621265218</v>
      </c>
    </row>
    <row r="47" spans="1:25" s="4" customFormat="1" ht="33" customHeight="1">
      <c r="A47" s="271">
        <v>21000000</v>
      </c>
      <c r="B47" s="324" t="s">
        <v>96</v>
      </c>
      <c r="C47" s="325">
        <f>SUM(C48+C50)</f>
        <v>25867</v>
      </c>
      <c r="D47" s="325">
        <f t="shared" ref="D47:E47" si="22">SUM(D48+D50)</f>
        <v>9500</v>
      </c>
      <c r="E47" s="325">
        <f t="shared" si="22"/>
        <v>0</v>
      </c>
      <c r="F47" s="164">
        <f t="shared" si="18"/>
        <v>0</v>
      </c>
      <c r="G47" s="496">
        <f t="shared" si="2"/>
        <v>0</v>
      </c>
      <c r="H47" s="525">
        <f t="shared" si="5"/>
        <v>-9500</v>
      </c>
      <c r="I47" s="149">
        <f>I48+I50</f>
        <v>68.772999999999996</v>
      </c>
      <c r="J47" s="151">
        <f t="shared" si="6"/>
        <v>-68.772999999999996</v>
      </c>
      <c r="K47" s="161">
        <f t="shared" si="19"/>
        <v>-100</v>
      </c>
    </row>
    <row r="48" spans="1:25" s="4" customFormat="1" ht="50.25" customHeight="1">
      <c r="A48" s="271">
        <v>21010000</v>
      </c>
      <c r="B48" s="324" t="s">
        <v>97</v>
      </c>
      <c r="C48" s="325">
        <v>680</v>
      </c>
      <c r="D48" s="325">
        <v>0</v>
      </c>
      <c r="E48" s="325">
        <v>0</v>
      </c>
      <c r="F48" s="164">
        <f>IF(C48=0,"",E48/C48*100)</f>
        <v>0</v>
      </c>
      <c r="G48" s="164" t="str">
        <f>IF(D48=0,"",E48/D48*100)</f>
        <v/>
      </c>
      <c r="H48" s="525">
        <f t="shared" si="5"/>
        <v>0</v>
      </c>
      <c r="I48" s="149">
        <f>I49</f>
        <v>8.5739999999999998</v>
      </c>
      <c r="J48" s="151">
        <f t="shared" si="6"/>
        <v>-8.5739999999999998</v>
      </c>
      <c r="K48" s="161">
        <f t="shared" si="19"/>
        <v>-100</v>
      </c>
    </row>
    <row r="49" spans="1:11" s="4" customFormat="1" ht="48.75" customHeight="1">
      <c r="A49" s="272">
        <v>21010300</v>
      </c>
      <c r="B49" s="329" t="s">
        <v>98</v>
      </c>
      <c r="C49" s="335">
        <v>680</v>
      </c>
      <c r="D49" s="335">
        <v>0</v>
      </c>
      <c r="E49" s="335">
        <v>0</v>
      </c>
      <c r="F49" s="162">
        <f>IF(C49=0,"",E49/C49*100)</f>
        <v>0</v>
      </c>
      <c r="G49" s="162" t="str">
        <f>IF(D49=0,"",E49/D49*100)</f>
        <v/>
      </c>
      <c r="H49" s="636">
        <f t="shared" si="5"/>
        <v>0</v>
      </c>
      <c r="I49" s="172">
        <v>8.5739999999999998</v>
      </c>
      <c r="J49" s="158">
        <f t="shared" si="6"/>
        <v>-8.5739999999999998</v>
      </c>
      <c r="K49" s="159">
        <f t="shared" si="19"/>
        <v>-100</v>
      </c>
    </row>
    <row r="50" spans="1:11" s="4" customFormat="1" ht="26.25" customHeight="1">
      <c r="A50" s="271">
        <v>21080000</v>
      </c>
      <c r="B50" s="324" t="s">
        <v>99</v>
      </c>
      <c r="C50" s="325">
        <f>SUM(C52+C51)</f>
        <v>25187</v>
      </c>
      <c r="D50" s="325">
        <f t="shared" ref="D50:E50" si="23">SUM(D52+D51)</f>
        <v>9500</v>
      </c>
      <c r="E50" s="325">
        <f t="shared" si="23"/>
        <v>0</v>
      </c>
      <c r="F50" s="164">
        <f t="shared" si="18"/>
        <v>0</v>
      </c>
      <c r="G50" s="496">
        <f t="shared" si="2"/>
        <v>0</v>
      </c>
      <c r="H50" s="525">
        <f t="shared" si="5"/>
        <v>-9500</v>
      </c>
      <c r="I50" s="149">
        <f>I51+I52</f>
        <v>60.198999999999998</v>
      </c>
      <c r="J50" s="151">
        <f t="shared" si="6"/>
        <v>-60.198999999999998</v>
      </c>
      <c r="K50" s="161">
        <f t="shared" si="19"/>
        <v>-100</v>
      </c>
    </row>
    <row r="51" spans="1:11" s="4" customFormat="1" ht="28.5" customHeight="1">
      <c r="A51" s="272">
        <v>21081100</v>
      </c>
      <c r="B51" s="329" t="s">
        <v>100</v>
      </c>
      <c r="C51" s="335">
        <v>1787</v>
      </c>
      <c r="D51" s="335">
        <v>0</v>
      </c>
      <c r="E51" s="335">
        <v>0</v>
      </c>
      <c r="F51" s="162">
        <f>IF(C51=0,"",E51/C51*100)</f>
        <v>0</v>
      </c>
      <c r="G51" s="519" t="str">
        <f>IF(D51=0,"",E51/D51*100)</f>
        <v/>
      </c>
      <c r="H51" s="636">
        <f t="shared" si="5"/>
        <v>0</v>
      </c>
      <c r="I51" s="173">
        <v>6.9189999999999996</v>
      </c>
      <c r="J51" s="158">
        <f>E51-I51</f>
        <v>-6.9189999999999996</v>
      </c>
      <c r="K51" s="159">
        <f t="shared" si="19"/>
        <v>-100</v>
      </c>
    </row>
    <row r="52" spans="1:11" s="11" customFormat="1" ht="49.5" customHeight="1">
      <c r="A52" s="272">
        <v>21081500</v>
      </c>
      <c r="B52" s="329" t="s">
        <v>101</v>
      </c>
      <c r="C52" s="336">
        <v>23400</v>
      </c>
      <c r="D52" s="336">
        <v>9500</v>
      </c>
      <c r="E52" s="336">
        <v>0</v>
      </c>
      <c r="F52" s="162">
        <f>IF(C52=0,"",E52/C52*100)</f>
        <v>0</v>
      </c>
      <c r="G52" s="519">
        <f>IF(D52=0,"",E52/D52*100)</f>
        <v>0</v>
      </c>
      <c r="H52" s="636">
        <f t="shared" si="5"/>
        <v>-9500</v>
      </c>
      <c r="I52" s="173">
        <v>53.28</v>
      </c>
      <c r="J52" s="158">
        <f t="shared" si="6"/>
        <v>-53.28</v>
      </c>
      <c r="K52" s="159">
        <f>E58/I52*100-100</f>
        <v>-100</v>
      </c>
    </row>
    <row r="53" spans="1:11" s="11" customFormat="1" ht="45" customHeight="1">
      <c r="A53" s="271">
        <v>22000000</v>
      </c>
      <c r="B53" s="324" t="s">
        <v>102</v>
      </c>
      <c r="C53" s="325">
        <f>SUM(C54+C60+C62+C67)</f>
        <v>810146</v>
      </c>
      <c r="D53" s="325">
        <f t="shared" ref="D53:E53" si="24">SUM(D54+D60+D62+D67)</f>
        <v>213664</v>
      </c>
      <c r="E53" s="325">
        <f t="shared" si="24"/>
        <v>290378</v>
      </c>
      <c r="F53" s="164">
        <f t="shared" ref="F53:F72" si="25">IF(C53=0,"",E53/C53*100)</f>
        <v>35.842675270877102</v>
      </c>
      <c r="G53" s="496">
        <f t="shared" ref="G53:G72" si="26">IF(D53=0,"",E53/D53*100)</f>
        <v>135.90403624382208</v>
      </c>
      <c r="H53" s="525">
        <f t="shared" si="5"/>
        <v>76714</v>
      </c>
      <c r="I53" s="149">
        <f>I54+I60+I62</f>
        <v>1594.36</v>
      </c>
      <c r="J53" s="151">
        <f>E53-I53</f>
        <v>288783.64</v>
      </c>
      <c r="K53" s="161">
        <f>E60/I53*100-100</f>
        <v>-100</v>
      </c>
    </row>
    <row r="54" spans="1:11" s="11" customFormat="1" ht="33.75" customHeight="1">
      <c r="A54" s="271">
        <v>22010000</v>
      </c>
      <c r="B54" s="324" t="s">
        <v>20</v>
      </c>
      <c r="C54" s="334">
        <f>SUM(C55:C59)</f>
        <v>808283</v>
      </c>
      <c r="D54" s="334">
        <f t="shared" ref="D54:E54" si="27">SUM(D55:D59)</f>
        <v>213480</v>
      </c>
      <c r="E54" s="334">
        <f t="shared" si="27"/>
        <v>289517</v>
      </c>
      <c r="F54" s="164">
        <f t="shared" si="25"/>
        <v>35.818766446900405</v>
      </c>
      <c r="G54" s="496">
        <f t="shared" si="26"/>
        <v>135.61785647367435</v>
      </c>
      <c r="H54" s="525">
        <f t="shared" si="5"/>
        <v>76037</v>
      </c>
      <c r="I54" s="160">
        <f>I55+I56+I57+I58</f>
        <v>1332.6990000000001</v>
      </c>
      <c r="J54" s="151">
        <f t="shared" ref="J54:J66" si="28">E54-I54</f>
        <v>288184.30099999998</v>
      </c>
      <c r="K54" s="161">
        <f>E61/I54*100-100</f>
        <v>-100</v>
      </c>
    </row>
    <row r="55" spans="1:11" s="11" customFormat="1" ht="57" customHeight="1">
      <c r="A55" s="272">
        <v>22010300</v>
      </c>
      <c r="B55" s="329" t="s">
        <v>103</v>
      </c>
      <c r="C55" s="330">
        <v>70050</v>
      </c>
      <c r="D55" s="335">
        <v>8300</v>
      </c>
      <c r="E55" s="335">
        <v>17120</v>
      </c>
      <c r="F55" s="162">
        <f t="shared" si="25"/>
        <v>24.439685938615273</v>
      </c>
      <c r="G55" s="519">
        <f t="shared" si="26"/>
        <v>206.26506024096386</v>
      </c>
      <c r="H55" s="636">
        <f t="shared" si="5"/>
        <v>8820</v>
      </c>
      <c r="I55" s="173">
        <v>37.9</v>
      </c>
      <c r="J55" s="158">
        <f t="shared" si="28"/>
        <v>17082.099999999999</v>
      </c>
      <c r="K55" s="159">
        <f t="shared" ref="K55:K66" si="29">E55/I55*100-100</f>
        <v>45071.503957783643</v>
      </c>
    </row>
    <row r="56" spans="1:11" s="11" customFormat="1" ht="34.5" customHeight="1">
      <c r="A56" s="272">
        <v>22012500</v>
      </c>
      <c r="B56" s="329" t="s">
        <v>104</v>
      </c>
      <c r="C56" s="339">
        <v>18413</v>
      </c>
      <c r="D56" s="340">
        <v>7890</v>
      </c>
      <c r="E56" s="340">
        <v>7137</v>
      </c>
      <c r="F56" s="162">
        <f t="shared" si="25"/>
        <v>38.760658230597947</v>
      </c>
      <c r="G56" s="519">
        <f t="shared" si="26"/>
        <v>90.456273764258555</v>
      </c>
      <c r="H56" s="636">
        <f t="shared" si="5"/>
        <v>-753</v>
      </c>
      <c r="I56" s="174">
        <v>1082.1110000000001</v>
      </c>
      <c r="J56" s="158">
        <f t="shared" si="28"/>
        <v>6054.8890000000001</v>
      </c>
      <c r="K56" s="159">
        <f t="shared" si="29"/>
        <v>559.54416875902746</v>
      </c>
    </row>
    <row r="57" spans="1:11" s="11" customFormat="1" ht="38.25" customHeight="1">
      <c r="A57" s="272">
        <v>22012600</v>
      </c>
      <c r="B57" s="329" t="s">
        <v>105</v>
      </c>
      <c r="C57" s="330">
        <v>711820</v>
      </c>
      <c r="D57" s="330">
        <v>197290</v>
      </c>
      <c r="E57" s="330">
        <v>265260</v>
      </c>
      <c r="F57" s="162">
        <f t="shared" si="25"/>
        <v>37.26503891433228</v>
      </c>
      <c r="G57" s="519">
        <f t="shared" si="26"/>
        <v>134.45182219068377</v>
      </c>
      <c r="H57" s="636">
        <f t="shared" si="5"/>
        <v>67970</v>
      </c>
      <c r="I57" s="171">
        <v>212.68799999999999</v>
      </c>
      <c r="J57" s="158">
        <f t="shared" si="28"/>
        <v>265047.31199999998</v>
      </c>
      <c r="K57" s="159">
        <f t="shared" si="29"/>
        <v>124617.89663732793</v>
      </c>
    </row>
    <row r="58" spans="1:11" s="11" customFormat="1" ht="116.25" hidden="1" customHeight="1">
      <c r="A58" s="272">
        <v>22012900</v>
      </c>
      <c r="B58" s="329" t="s">
        <v>106</v>
      </c>
      <c r="C58" s="335"/>
      <c r="D58" s="335"/>
      <c r="E58" s="335"/>
      <c r="F58" s="162" t="str">
        <f t="shared" si="25"/>
        <v/>
      </c>
      <c r="G58" s="162" t="str">
        <f t="shared" si="26"/>
        <v/>
      </c>
      <c r="H58" s="636">
        <f t="shared" si="5"/>
        <v>0</v>
      </c>
      <c r="I58" s="173"/>
      <c r="J58" s="158">
        <f t="shared" si="28"/>
        <v>0</v>
      </c>
      <c r="K58" s="159" t="e">
        <f t="shared" si="29"/>
        <v>#DIV/0!</v>
      </c>
    </row>
    <row r="59" spans="1:11" s="11" customFormat="1" ht="99.75" customHeight="1">
      <c r="A59" s="272">
        <v>22012900</v>
      </c>
      <c r="B59" s="329" t="s">
        <v>245</v>
      </c>
      <c r="C59" s="335">
        <v>8000</v>
      </c>
      <c r="D59" s="335">
        <v>0</v>
      </c>
      <c r="E59" s="335">
        <v>0</v>
      </c>
      <c r="F59" s="162">
        <v>0</v>
      </c>
      <c r="G59" s="162">
        <v>0</v>
      </c>
      <c r="H59" s="636">
        <f t="shared" si="5"/>
        <v>0</v>
      </c>
      <c r="I59" s="173"/>
      <c r="J59" s="158"/>
      <c r="K59" s="159"/>
    </row>
    <row r="60" spans="1:11" s="11" customFormat="1" ht="51" customHeight="1">
      <c r="A60" s="271">
        <v>22080000</v>
      </c>
      <c r="B60" s="324" t="s">
        <v>107</v>
      </c>
      <c r="C60" s="334">
        <f>SUM(C61)</f>
        <v>507</v>
      </c>
      <c r="D60" s="334">
        <f t="shared" ref="D60:E60" si="30">SUM(D61)</f>
        <v>0</v>
      </c>
      <c r="E60" s="334">
        <f t="shared" si="30"/>
        <v>0</v>
      </c>
      <c r="F60" s="164">
        <f t="shared" si="25"/>
        <v>0</v>
      </c>
      <c r="G60" s="164" t="str">
        <f t="shared" si="26"/>
        <v/>
      </c>
      <c r="H60" s="525">
        <f t="shared" si="5"/>
        <v>0</v>
      </c>
      <c r="I60" s="160">
        <f>I61</f>
        <v>187.15799999999999</v>
      </c>
      <c r="J60" s="151">
        <f t="shared" si="28"/>
        <v>-187.15799999999999</v>
      </c>
      <c r="K60" s="161">
        <f t="shared" si="29"/>
        <v>-100</v>
      </c>
    </row>
    <row r="61" spans="1:11" s="11" customFormat="1" ht="52.5" customHeight="1">
      <c r="A61" s="272">
        <v>22080400</v>
      </c>
      <c r="B61" s="329" t="s">
        <v>108</v>
      </c>
      <c r="C61" s="330">
        <v>507</v>
      </c>
      <c r="D61" s="330">
        <v>0</v>
      </c>
      <c r="E61" s="330">
        <v>0</v>
      </c>
      <c r="F61" s="162">
        <f t="shared" si="25"/>
        <v>0</v>
      </c>
      <c r="G61" s="162" t="str">
        <f t="shared" si="26"/>
        <v/>
      </c>
      <c r="H61" s="636">
        <f t="shared" si="5"/>
        <v>0</v>
      </c>
      <c r="I61" s="173">
        <v>187.15799999999999</v>
      </c>
      <c r="J61" s="158">
        <f t="shared" si="28"/>
        <v>-187.15799999999999</v>
      </c>
      <c r="K61" s="159">
        <f t="shared" si="29"/>
        <v>-100</v>
      </c>
    </row>
    <row r="62" spans="1:11" s="11" customFormat="1" ht="22.5" customHeight="1">
      <c r="A62" s="271">
        <v>22090000</v>
      </c>
      <c r="B62" s="324" t="s">
        <v>109</v>
      </c>
      <c r="C62" s="334">
        <f>SUM(C63:C66)</f>
        <v>570</v>
      </c>
      <c r="D62" s="334">
        <f t="shared" ref="D62:E62" si="31">SUM(D63:D66)</f>
        <v>184</v>
      </c>
      <c r="E62" s="334">
        <f t="shared" si="31"/>
        <v>75</v>
      </c>
      <c r="F62" s="164">
        <f t="shared" si="25"/>
        <v>13.157894736842104</v>
      </c>
      <c r="G62" s="496">
        <f t="shared" si="26"/>
        <v>40.760869565217391</v>
      </c>
      <c r="H62" s="525">
        <f t="shared" si="5"/>
        <v>-109</v>
      </c>
      <c r="I62" s="160">
        <f>I63+I64+I66</f>
        <v>74.503</v>
      </c>
      <c r="J62" s="151">
        <f t="shared" si="28"/>
        <v>0.49699999999999989</v>
      </c>
      <c r="K62" s="161">
        <f t="shared" si="29"/>
        <v>0.6670872313866596</v>
      </c>
    </row>
    <row r="63" spans="1:11" s="11" customFormat="1" ht="62.25" customHeight="1">
      <c r="A63" s="272">
        <v>22090100</v>
      </c>
      <c r="B63" s="329" t="s">
        <v>110</v>
      </c>
      <c r="C63" s="340">
        <v>373</v>
      </c>
      <c r="D63" s="340">
        <v>134</v>
      </c>
      <c r="E63" s="340">
        <v>75</v>
      </c>
      <c r="F63" s="162">
        <f t="shared" si="25"/>
        <v>20.107238605898122</v>
      </c>
      <c r="G63" s="519">
        <f t="shared" si="26"/>
        <v>55.970149253731336</v>
      </c>
      <c r="H63" s="344">
        <f t="shared" si="5"/>
        <v>-59</v>
      </c>
      <c r="I63" s="175">
        <v>47.179000000000002</v>
      </c>
      <c r="J63" s="176">
        <f t="shared" si="28"/>
        <v>27.820999999999998</v>
      </c>
      <c r="K63" s="177">
        <f t="shared" si="29"/>
        <v>58.969032832404253</v>
      </c>
    </row>
    <row r="64" spans="1:11" s="4" customFormat="1" ht="40.5" hidden="1" customHeight="1" thickBot="1">
      <c r="A64" s="272">
        <v>22090200</v>
      </c>
      <c r="B64" s="329" t="s">
        <v>111</v>
      </c>
      <c r="C64" s="341"/>
      <c r="D64" s="341"/>
      <c r="E64" s="341"/>
      <c r="F64" s="178" t="str">
        <f t="shared" si="25"/>
        <v/>
      </c>
      <c r="G64" s="526" t="str">
        <f t="shared" si="26"/>
        <v/>
      </c>
      <c r="H64" s="637">
        <f t="shared" si="5"/>
        <v>0</v>
      </c>
      <c r="I64" s="174"/>
      <c r="J64" s="179">
        <f t="shared" si="28"/>
        <v>0</v>
      </c>
      <c r="K64" s="177" t="e">
        <f t="shared" si="29"/>
        <v>#DIV/0!</v>
      </c>
    </row>
    <row r="65" spans="1:25" s="4" customFormat="1" ht="19.149999999999999" hidden="1" customHeight="1">
      <c r="A65" s="272">
        <v>22090200</v>
      </c>
      <c r="B65" s="329" t="s">
        <v>111</v>
      </c>
      <c r="C65" s="340">
        <v>0</v>
      </c>
      <c r="D65" s="340">
        <v>0</v>
      </c>
      <c r="E65" s="340">
        <v>0</v>
      </c>
      <c r="F65" s="178">
        <v>0</v>
      </c>
      <c r="G65" s="526">
        <v>0</v>
      </c>
      <c r="H65" s="344">
        <f t="shared" si="5"/>
        <v>0</v>
      </c>
      <c r="I65" s="293">
        <v>1.6999999999999999E-3</v>
      </c>
      <c r="J65" s="179"/>
      <c r="K65" s="177"/>
    </row>
    <row r="66" spans="1:25" s="17" customFormat="1" ht="31.5" customHeight="1" thickBot="1">
      <c r="A66" s="272">
        <v>22090400</v>
      </c>
      <c r="B66" s="329" t="s">
        <v>112</v>
      </c>
      <c r="C66" s="343">
        <v>197</v>
      </c>
      <c r="D66" s="343">
        <v>50</v>
      </c>
      <c r="E66" s="343">
        <v>0</v>
      </c>
      <c r="F66" s="181">
        <v>0</v>
      </c>
      <c r="G66" s="527">
        <f t="shared" si="26"/>
        <v>0</v>
      </c>
      <c r="H66" s="344">
        <f t="shared" si="5"/>
        <v>-50</v>
      </c>
      <c r="I66" s="171">
        <v>27.324000000000002</v>
      </c>
      <c r="J66" s="167">
        <f t="shared" si="28"/>
        <v>-27.324000000000002</v>
      </c>
      <c r="K66" s="159">
        <f t="shared" si="29"/>
        <v>-100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5" customFormat="1" ht="100.5" customHeight="1" thickTop="1">
      <c r="A67" s="271">
        <v>22130000</v>
      </c>
      <c r="B67" s="324" t="s">
        <v>261</v>
      </c>
      <c r="C67" s="448">
        <f>SUM(C68)</f>
        <v>786</v>
      </c>
      <c r="D67" s="448">
        <f t="shared" ref="D67:E67" si="32">SUM(D68)</f>
        <v>0</v>
      </c>
      <c r="E67" s="448">
        <f t="shared" si="32"/>
        <v>786</v>
      </c>
      <c r="F67" s="449">
        <v>0</v>
      </c>
      <c r="G67" s="527" t="str">
        <f t="shared" si="26"/>
        <v/>
      </c>
      <c r="H67" s="344">
        <f t="shared" si="5"/>
        <v>786</v>
      </c>
      <c r="I67" s="173"/>
      <c r="J67" s="306"/>
      <c r="K67" s="307"/>
    </row>
    <row r="68" spans="1:25" s="5" customFormat="1" ht="100.5" customHeight="1">
      <c r="A68" s="272">
        <v>22130000</v>
      </c>
      <c r="B68" s="329" t="s">
        <v>261</v>
      </c>
      <c r="C68" s="345">
        <v>786</v>
      </c>
      <c r="D68" s="345">
        <v>0</v>
      </c>
      <c r="E68" s="345">
        <v>786</v>
      </c>
      <c r="F68" s="305">
        <v>0</v>
      </c>
      <c r="G68" s="527" t="str">
        <f t="shared" si="26"/>
        <v/>
      </c>
      <c r="H68" s="344">
        <f>E68-D68</f>
        <v>786</v>
      </c>
      <c r="I68" s="173"/>
      <c r="J68" s="306"/>
      <c r="K68" s="307"/>
    </row>
    <row r="69" spans="1:25" ht="28.5" customHeight="1">
      <c r="A69" s="271">
        <v>24000000</v>
      </c>
      <c r="B69" s="324" t="s">
        <v>113</v>
      </c>
      <c r="C69" s="325">
        <f>SUM(C70)</f>
        <v>59214</v>
      </c>
      <c r="D69" s="325">
        <f t="shared" ref="D69:E69" si="33">SUM(D70)</f>
        <v>0</v>
      </c>
      <c r="E69" s="325">
        <f t="shared" si="33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</f>
        <v>17.621000000000002</v>
      </c>
      <c r="J69" s="258"/>
      <c r="K69" s="152"/>
    </row>
    <row r="70" spans="1:25" ht="16.5">
      <c r="A70" s="271">
        <v>24060000</v>
      </c>
      <c r="B70" s="324" t="s">
        <v>99</v>
      </c>
      <c r="C70" s="325">
        <f>SUM(C71:C72)</f>
        <v>59214</v>
      </c>
      <c r="D70" s="325">
        <f t="shared" ref="D70:E70" si="34">SUM(D71:D72)</f>
        <v>0</v>
      </c>
      <c r="E70" s="325">
        <f t="shared" si="34"/>
        <v>420</v>
      </c>
      <c r="F70" s="449">
        <v>0</v>
      </c>
      <c r="G70" s="181" t="str">
        <f t="shared" si="26"/>
        <v/>
      </c>
      <c r="H70" s="378">
        <f>E70-D70</f>
        <v>420</v>
      </c>
      <c r="I70" s="149">
        <f>I71+I72</f>
        <v>17.621000000000002</v>
      </c>
      <c r="J70" s="182">
        <f>E70-I70</f>
        <v>402.37900000000002</v>
      </c>
      <c r="K70" s="161">
        <f>E70/I70*100-100</f>
        <v>2283.5196640372283</v>
      </c>
    </row>
    <row r="71" spans="1:25" ht="21" customHeight="1">
      <c r="A71" s="272">
        <v>24060300</v>
      </c>
      <c r="B71" s="329" t="s">
        <v>99</v>
      </c>
      <c r="C71" s="335">
        <v>7674</v>
      </c>
      <c r="D71" s="335">
        <v>0</v>
      </c>
      <c r="E71" s="335">
        <v>420</v>
      </c>
      <c r="F71" s="162">
        <f t="shared" si="25"/>
        <v>5.4730258014073492</v>
      </c>
      <c r="G71" s="527">
        <v>0</v>
      </c>
      <c r="H71" s="636">
        <f t="shared" ref="H71:H86" si="35">E71-D71</f>
        <v>420</v>
      </c>
      <c r="I71" s="173">
        <v>7.9649999999999999</v>
      </c>
      <c r="J71" s="167">
        <f>E71-I71</f>
        <v>412.03500000000003</v>
      </c>
      <c r="K71" s="159">
        <f>E71/I71*100-100</f>
        <v>5173.0696798493409</v>
      </c>
    </row>
    <row r="72" spans="1:25" ht="144" customHeight="1">
      <c r="A72" s="272">
        <v>24062200</v>
      </c>
      <c r="B72" s="346" t="s">
        <v>115</v>
      </c>
      <c r="C72" s="464">
        <v>51540</v>
      </c>
      <c r="D72" s="464">
        <v>0</v>
      </c>
      <c r="E72" s="465">
        <v>0</v>
      </c>
      <c r="F72" s="466">
        <f t="shared" si="25"/>
        <v>0</v>
      </c>
      <c r="G72" s="528" t="str">
        <f t="shared" si="26"/>
        <v/>
      </c>
      <c r="H72" s="638">
        <f t="shared" si="35"/>
        <v>0</v>
      </c>
      <c r="I72" s="171">
        <v>9.6560000000000006</v>
      </c>
      <c r="J72" s="167">
        <f>E72-I72</f>
        <v>-9.6560000000000006</v>
      </c>
      <c r="K72" s="159">
        <f>E72/I72*100-100</f>
        <v>-100</v>
      </c>
    </row>
    <row r="73" spans="1:25" ht="38.25" customHeight="1">
      <c r="A73" s="275"/>
      <c r="B73" s="469" t="s">
        <v>232</v>
      </c>
      <c r="C73" s="470">
        <f>C9+C46</f>
        <v>36504405</v>
      </c>
      <c r="D73" s="470">
        <f>D9+D46</f>
        <v>12214217</v>
      </c>
      <c r="E73" s="470">
        <f>E9+E46</f>
        <v>12961551</v>
      </c>
      <c r="F73" s="471">
        <f>IF(C73=0,"",E73/C73*100)</f>
        <v>35.506813492782584</v>
      </c>
      <c r="G73" s="471">
        <f>IF(D73=0,"",E73/D73*100)</f>
        <v>106.1185583979718</v>
      </c>
      <c r="H73" s="472">
        <f>E73-D73</f>
        <v>747334</v>
      </c>
      <c r="I73" s="153">
        <f>I9+I46</f>
        <v>114259.856</v>
      </c>
      <c r="J73" s="207">
        <f>E73-I73</f>
        <v>12847291.143999999</v>
      </c>
      <c r="K73" s="208">
        <f>E73/I73*100-100</f>
        <v>11243.92380119926</v>
      </c>
    </row>
    <row r="74" spans="1:25" ht="21.75" customHeight="1">
      <c r="A74" s="271">
        <v>40000000</v>
      </c>
      <c r="B74" s="324" t="s">
        <v>128</v>
      </c>
      <c r="C74" s="325">
        <f>SUM(C75)</f>
        <v>30686530</v>
      </c>
      <c r="D74" s="325">
        <f>SUM(D75)</f>
        <v>17802411</v>
      </c>
      <c r="E74" s="325">
        <f>SUM(E75)</f>
        <v>17797493</v>
      </c>
      <c r="F74" s="164">
        <f t="shared" ref="F74:F78" si="36">IF(C74=0,"",E74/C74*100)</f>
        <v>57.997737117882018</v>
      </c>
      <c r="G74" s="496">
        <f t="shared" ref="G74:G78" si="37">IF(D74=0,"",E74/D74*100)</f>
        <v>99.972374528371461</v>
      </c>
      <c r="H74" s="525">
        <f t="shared" si="35"/>
        <v>-4918</v>
      </c>
      <c r="I74" s="149" t="e">
        <f>I75</f>
        <v>#REF!</v>
      </c>
      <c r="J74" s="182" t="e">
        <f t="shared" ref="J74:J86" si="38">E74-I74</f>
        <v>#REF!</v>
      </c>
      <c r="K74" s="161" t="e">
        <f t="shared" ref="K74:K86" si="39">E74/I74*100-100</f>
        <v>#REF!</v>
      </c>
    </row>
    <row r="75" spans="1:25" s="12" customFormat="1" ht="29.25" customHeight="1">
      <c r="A75" s="271">
        <v>41000000</v>
      </c>
      <c r="B75" s="324" t="s">
        <v>129</v>
      </c>
      <c r="C75" s="325">
        <f>SUM(C86+C80+C76+C84)</f>
        <v>30686530</v>
      </c>
      <c r="D75" s="325">
        <f t="shared" ref="D75:E75" si="40">SUM(D86+D80+D76+D84)</f>
        <v>17802411</v>
      </c>
      <c r="E75" s="325">
        <f t="shared" si="40"/>
        <v>17797493</v>
      </c>
      <c r="F75" s="183">
        <f t="shared" si="36"/>
        <v>57.997737117882018</v>
      </c>
      <c r="G75" s="522">
        <f t="shared" si="37"/>
        <v>99.972374528371461</v>
      </c>
      <c r="H75" s="525">
        <f t="shared" si="35"/>
        <v>-4918</v>
      </c>
      <c r="I75" s="149" t="e">
        <f>I76+#REF!+I86</f>
        <v>#REF!</v>
      </c>
      <c r="J75" s="182" t="e">
        <f t="shared" si="38"/>
        <v>#REF!</v>
      </c>
      <c r="K75" s="161" t="e">
        <f t="shared" si="39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31.5" customHeight="1">
      <c r="A76" s="271">
        <v>41020000</v>
      </c>
      <c r="B76" s="324" t="s">
        <v>262</v>
      </c>
      <c r="C76" s="325">
        <f>SUM(C79)</f>
        <v>11412100</v>
      </c>
      <c r="D76" s="325">
        <f>SUM(D79)</f>
        <v>5706000</v>
      </c>
      <c r="E76" s="325">
        <f>SUM(E79)</f>
        <v>5706000</v>
      </c>
      <c r="F76" s="183">
        <f t="shared" si="36"/>
        <v>49.999561868543033</v>
      </c>
      <c r="G76" s="168">
        <f t="shared" si="37"/>
        <v>100</v>
      </c>
      <c r="H76" s="525">
        <f t="shared" si="35"/>
        <v>0</v>
      </c>
      <c r="I76" s="149" t="e">
        <f>I77+I78+I79+#REF!+I82+#REF!+#REF!</f>
        <v>#REF!</v>
      </c>
      <c r="J76" s="182" t="e">
        <f t="shared" si="38"/>
        <v>#REF!</v>
      </c>
      <c r="K76" s="161" t="e">
        <f t="shared" si="39"/>
        <v>#REF!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12" customFormat="1" ht="71.25" hidden="1" customHeight="1">
      <c r="A77" s="272">
        <v>41030400</v>
      </c>
      <c r="B77" s="329" t="s">
        <v>131</v>
      </c>
      <c r="C77" s="335"/>
      <c r="D77" s="335"/>
      <c r="E77" s="335"/>
      <c r="F77" s="184" t="str">
        <f t="shared" si="36"/>
        <v/>
      </c>
      <c r="G77" s="156" t="str">
        <f t="shared" si="37"/>
        <v/>
      </c>
      <c r="H77" s="636">
        <f t="shared" si="35"/>
        <v>0</v>
      </c>
      <c r="I77" s="173"/>
      <c r="J77" s="167">
        <f t="shared" si="38"/>
        <v>0</v>
      </c>
      <c r="K77" s="159" t="e">
        <f t="shared" si="39"/>
        <v>#DIV/0!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s="6" customFormat="1" ht="51.75" hidden="1" customHeight="1">
      <c r="A78" s="272">
        <v>41033200</v>
      </c>
      <c r="B78" s="329" t="s">
        <v>132</v>
      </c>
      <c r="C78" s="335"/>
      <c r="D78" s="335"/>
      <c r="E78" s="335"/>
      <c r="F78" s="184" t="str">
        <f t="shared" si="36"/>
        <v/>
      </c>
      <c r="G78" s="156" t="str">
        <f t="shared" si="37"/>
        <v/>
      </c>
      <c r="H78" s="636">
        <f t="shared" si="35"/>
        <v>0</v>
      </c>
      <c r="I78" s="185"/>
      <c r="J78" s="167">
        <f t="shared" si="38"/>
        <v>0</v>
      </c>
      <c r="K78" s="159" t="e">
        <f t="shared" si="39"/>
        <v>#DIV/0!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21" customHeight="1">
      <c r="A79" s="272">
        <v>41020100</v>
      </c>
      <c r="B79" s="329" t="s">
        <v>263</v>
      </c>
      <c r="C79" s="335">
        <v>11412100</v>
      </c>
      <c r="D79" s="335">
        <v>5706000</v>
      </c>
      <c r="E79" s="335">
        <v>5706000</v>
      </c>
      <c r="F79" s="184">
        <f>IF(C79=0,"",E79/C79*100)</f>
        <v>49.999561868543033</v>
      </c>
      <c r="G79" s="156">
        <f>IF(D79=0,"",E79/D79*100)</f>
        <v>100</v>
      </c>
      <c r="H79" s="636">
        <f t="shared" si="35"/>
        <v>0</v>
      </c>
      <c r="I79" s="173">
        <v>700</v>
      </c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36.75" customHeight="1">
      <c r="A80" s="271">
        <v>41030000</v>
      </c>
      <c r="B80" s="324" t="s">
        <v>130</v>
      </c>
      <c r="C80" s="325">
        <f>SUM(C82+C81+C83)</f>
        <v>19094600</v>
      </c>
      <c r="D80" s="325">
        <f t="shared" ref="D80:E80" si="41">SUM(D82+D81+D83)</f>
        <v>11947700</v>
      </c>
      <c r="E80" s="325">
        <f t="shared" si="41"/>
        <v>11947700</v>
      </c>
      <c r="F80" s="183">
        <f>IF(C80=0,"",E80/C80*100)</f>
        <v>62.571093398133506</v>
      </c>
      <c r="G80" s="522">
        <f>IF(D80=0,"",E80/D80*100)</f>
        <v>100</v>
      </c>
      <c r="H80" s="525">
        <f t="shared" si="35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6" customFormat="1" ht="48.75" customHeight="1">
      <c r="A81" s="275">
        <v>41032700</v>
      </c>
      <c r="B81" s="531" t="s">
        <v>291</v>
      </c>
      <c r="C81" s="448">
        <v>0</v>
      </c>
      <c r="D81" s="448">
        <v>0</v>
      </c>
      <c r="E81" s="448">
        <v>0</v>
      </c>
      <c r="F81" s="529" t="s">
        <v>292</v>
      </c>
      <c r="G81" s="530" t="s">
        <v>292</v>
      </c>
      <c r="H81" s="525">
        <f t="shared" si="35"/>
        <v>0</v>
      </c>
      <c r="I81" s="173"/>
      <c r="J81" s="167"/>
      <c r="K81" s="159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30.75" customHeight="1">
      <c r="A82" s="275">
        <v>41033900</v>
      </c>
      <c r="B82" s="531" t="s">
        <v>133</v>
      </c>
      <c r="C82" s="345">
        <v>19094600</v>
      </c>
      <c r="D82" s="345">
        <v>11947700</v>
      </c>
      <c r="E82" s="345">
        <v>11947700</v>
      </c>
      <c r="F82" s="184">
        <f t="shared" ref="F82:F88" si="42">IF(C82=0,"",E82/C82*100)</f>
        <v>62.571093398133506</v>
      </c>
      <c r="G82" s="156">
        <f t="shared" ref="G82:G90" si="43">IF(D82=0,"",E82/D82*100)</f>
        <v>100</v>
      </c>
      <c r="H82" s="636">
        <f t="shared" si="35"/>
        <v>0</v>
      </c>
      <c r="I82" s="173">
        <v>26270.7</v>
      </c>
      <c r="J82" s="167">
        <f t="shared" si="38"/>
        <v>11921429.300000001</v>
      </c>
      <c r="K82" s="159">
        <f t="shared" si="39"/>
        <v>45379.184033923724</v>
      </c>
    </row>
    <row r="83" spans="1:25" ht="62.25" customHeight="1">
      <c r="A83" s="275">
        <v>41035500</v>
      </c>
      <c r="B83" s="531" t="s">
        <v>293</v>
      </c>
      <c r="C83" s="345">
        <v>0</v>
      </c>
      <c r="D83" s="345">
        <v>0</v>
      </c>
      <c r="E83" s="345">
        <v>0</v>
      </c>
      <c r="F83" s="183" t="str">
        <f t="shared" si="42"/>
        <v/>
      </c>
      <c r="G83" s="168" t="str">
        <f t="shared" si="43"/>
        <v/>
      </c>
      <c r="H83" s="525">
        <f t="shared" si="35"/>
        <v>0</v>
      </c>
      <c r="I83" s="173"/>
      <c r="J83" s="167"/>
      <c r="K83" s="159"/>
    </row>
    <row r="84" spans="1:25" ht="31.15" customHeight="1">
      <c r="A84" s="535">
        <v>41040000</v>
      </c>
      <c r="B84" s="353" t="s">
        <v>315</v>
      </c>
      <c r="C84" s="448">
        <f>SUM(C85)</f>
        <v>124400</v>
      </c>
      <c r="D84" s="448">
        <f t="shared" ref="D84:E84" si="44">SUM(D85)</f>
        <v>124400</v>
      </c>
      <c r="E84" s="448">
        <f t="shared" si="44"/>
        <v>124400</v>
      </c>
      <c r="F84" s="183">
        <f t="shared" si="42"/>
        <v>100</v>
      </c>
      <c r="G84" s="168">
        <f t="shared" si="43"/>
        <v>100</v>
      </c>
      <c r="H84" s="525">
        <f t="shared" si="35"/>
        <v>0</v>
      </c>
      <c r="I84" s="173"/>
      <c r="J84" s="167"/>
      <c r="K84" s="159"/>
    </row>
    <row r="85" spans="1:25" ht="47.45" customHeight="1">
      <c r="A85" s="275">
        <v>41040500</v>
      </c>
      <c r="B85" s="531" t="s">
        <v>316</v>
      </c>
      <c r="C85" s="345">
        <v>124400</v>
      </c>
      <c r="D85" s="345">
        <v>124400</v>
      </c>
      <c r="E85" s="345">
        <v>124400</v>
      </c>
      <c r="F85" s="184">
        <f t="shared" si="42"/>
        <v>100</v>
      </c>
      <c r="G85" s="156">
        <f t="shared" si="43"/>
        <v>100</v>
      </c>
      <c r="H85" s="636">
        <f t="shared" si="35"/>
        <v>0</v>
      </c>
      <c r="I85" s="173"/>
      <c r="J85" s="167"/>
      <c r="K85" s="159"/>
    </row>
    <row r="86" spans="1:25" s="12" customFormat="1" ht="18.75" customHeight="1">
      <c r="A86" s="271">
        <v>41050000</v>
      </c>
      <c r="B86" s="324" t="s">
        <v>134</v>
      </c>
      <c r="C86" s="448">
        <f>SUM(C89+C87+C88)</f>
        <v>55430</v>
      </c>
      <c r="D86" s="448">
        <f t="shared" ref="D86:E86" si="45">SUM(D89+D87+D88)</f>
        <v>24311</v>
      </c>
      <c r="E86" s="448">
        <f t="shared" si="45"/>
        <v>19393</v>
      </c>
      <c r="F86" s="183">
        <f t="shared" si="42"/>
        <v>34.986469420891211</v>
      </c>
      <c r="G86" s="168">
        <f t="shared" si="43"/>
        <v>79.770474270906178</v>
      </c>
      <c r="H86" s="378">
        <f t="shared" si="35"/>
        <v>-4918</v>
      </c>
      <c r="I86" s="149">
        <f>SUM(I87:I89)</f>
        <v>53.982999999999997</v>
      </c>
      <c r="J86" s="182">
        <f t="shared" si="38"/>
        <v>19339.017</v>
      </c>
      <c r="K86" s="161">
        <f t="shared" si="39"/>
        <v>35824.272456143604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63.6" customHeight="1">
      <c r="A87" s="272">
        <v>41051200</v>
      </c>
      <c r="B87" s="329" t="s">
        <v>135</v>
      </c>
      <c r="C87" s="330">
        <v>55430</v>
      </c>
      <c r="D87" s="330">
        <v>24311</v>
      </c>
      <c r="E87" s="330">
        <v>19393</v>
      </c>
      <c r="F87" s="184">
        <f t="shared" si="42"/>
        <v>34.986469420891211</v>
      </c>
      <c r="G87" s="156">
        <f t="shared" si="43"/>
        <v>79.770474270906178</v>
      </c>
      <c r="H87" s="636">
        <f>E87-D87</f>
        <v>-4918</v>
      </c>
      <c r="I87" s="171">
        <v>53.982999999999997</v>
      </c>
      <c r="J87" s="167">
        <f>E87-I87</f>
        <v>19339.017</v>
      </c>
      <c r="K87" s="159">
        <f>E87/I87*100-100</f>
        <v>35824.272456143604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12" customFormat="1" ht="0.6" customHeight="1">
      <c r="A88" s="273">
        <v>41051400</v>
      </c>
      <c r="B88" s="329" t="s">
        <v>294</v>
      </c>
      <c r="C88" s="330"/>
      <c r="D88" s="330"/>
      <c r="E88" s="330"/>
      <c r="F88" s="184" t="str">
        <f t="shared" si="42"/>
        <v/>
      </c>
      <c r="G88" s="156" t="str">
        <f t="shared" si="43"/>
        <v/>
      </c>
      <c r="H88" s="333">
        <f>E88-D88</f>
        <v>0</v>
      </c>
      <c r="I88" s="175"/>
      <c r="J88" s="187"/>
      <c r="K88" s="177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6" customFormat="1" ht="66" hidden="1" customHeight="1">
      <c r="A89" s="273">
        <v>41051700</v>
      </c>
      <c r="B89" s="349" t="s">
        <v>239</v>
      </c>
      <c r="C89" s="330"/>
      <c r="D89" s="330"/>
      <c r="E89" s="330"/>
      <c r="F89" s="184">
        <v>0</v>
      </c>
      <c r="G89" s="156" t="str">
        <f t="shared" si="43"/>
        <v/>
      </c>
      <c r="H89" s="333">
        <f>E89-D89</f>
        <v>0</v>
      </c>
      <c r="I89" s="175"/>
      <c r="J89" s="187"/>
      <c r="K89" s="188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12" customFormat="1" ht="26.25" customHeight="1">
      <c r="A90" s="274">
        <v>900101</v>
      </c>
      <c r="B90" s="350" t="s">
        <v>136</v>
      </c>
      <c r="C90" s="351">
        <f>C9+C46+C74</f>
        <v>67190935</v>
      </c>
      <c r="D90" s="351">
        <f>D9+D46+D74</f>
        <v>30016628</v>
      </c>
      <c r="E90" s="351">
        <f>E9+E46+E74</f>
        <v>30759044</v>
      </c>
      <c r="F90" s="146">
        <f>IF(C90=0,"",E90/C90*100)</f>
        <v>45.778562242064353</v>
      </c>
      <c r="G90" s="532">
        <f t="shared" si="43"/>
        <v>102.47334910503605</v>
      </c>
      <c r="H90" s="352">
        <f>E90-D90</f>
        <v>742416</v>
      </c>
      <c r="I90" s="145" t="e">
        <f>I9+I46+I74</f>
        <v>#REF!</v>
      </c>
      <c r="J90" s="147" t="e">
        <f>E90-I90</f>
        <v>#REF!</v>
      </c>
      <c r="K90" s="148" t="e">
        <f>E90/I90*100-100</f>
        <v>#REF!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2" customFormat="1" ht="11.25" customHeight="1">
      <c r="A91" s="275"/>
      <c r="B91" s="353"/>
      <c r="C91" s="354"/>
      <c r="D91" s="354"/>
      <c r="E91" s="354"/>
      <c r="F91" s="141"/>
      <c r="G91" s="142"/>
      <c r="H91" s="355"/>
      <c r="I91" s="140"/>
      <c r="J91" s="143"/>
      <c r="K91" s="144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136" customFormat="1" ht="27" customHeight="1">
      <c r="A92" s="497"/>
      <c r="B92" s="498" t="s">
        <v>194</v>
      </c>
      <c r="C92" s="499"/>
      <c r="D92" s="499"/>
      <c r="E92" s="499"/>
      <c r="F92" s="500"/>
      <c r="G92" s="500"/>
      <c r="H92" s="499"/>
      <c r="I92" s="134"/>
      <c r="J92" s="135"/>
      <c r="K92" s="85"/>
      <c r="L92" s="124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pans="1:25" s="220" customFormat="1" ht="27" customHeight="1">
      <c r="A93" s="231" t="s">
        <v>30</v>
      </c>
      <c r="B93" s="324" t="s">
        <v>140</v>
      </c>
      <c r="C93" s="356">
        <f>C94+C95+C96</f>
        <v>11777787</v>
      </c>
      <c r="D93" s="356">
        <f>D94+D95+D96</f>
        <v>6750576</v>
      </c>
      <c r="E93" s="356">
        <f>E94+E95+E96</f>
        <v>3973193</v>
      </c>
      <c r="F93" s="356">
        <f>F94+F95</f>
        <v>61.92422860746268</v>
      </c>
      <c r="G93" s="562">
        <f>G94+G95</f>
        <v>109.47938411787462</v>
      </c>
      <c r="H93" s="639">
        <f>E93-D93</f>
        <v>-2777383</v>
      </c>
      <c r="I93" s="123">
        <f>SUM(I94:I97)</f>
        <v>0</v>
      </c>
      <c r="J93" s="121">
        <f>E93-I93</f>
        <v>3973193</v>
      </c>
      <c r="K93" s="118" t="e">
        <f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81.75" customHeight="1">
      <c r="A94" s="232" t="s">
        <v>141</v>
      </c>
      <c r="B94" s="329" t="s">
        <v>142</v>
      </c>
      <c r="C94" s="359">
        <v>9638800</v>
      </c>
      <c r="D94" s="359">
        <v>5561936</v>
      </c>
      <c r="E94" s="359">
        <v>3411550</v>
      </c>
      <c r="F94" s="128">
        <f t="shared" ref="F94:F157" si="46">IF(C94=0,"",E94/C94*100)</f>
        <v>35.39392870481803</v>
      </c>
      <c r="G94" s="563">
        <f t="shared" ref="G94:G161" si="47">IF(D94=0,"",E94/D94*100)</f>
        <v>61.337455159498418</v>
      </c>
      <c r="H94" s="640">
        <f t="shared" ref="H94:H161" si="48">E94-D94</f>
        <v>-2150386</v>
      </c>
      <c r="I94" s="72"/>
      <c r="J94" s="121">
        <f t="shared" ref="J94:J152" si="49">E94-I94</f>
        <v>3411550</v>
      </c>
      <c r="K94" s="118" t="e">
        <f t="shared" ref="K94:K152" si="50">E94/I94*100-100</f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51" customHeight="1">
      <c r="A95" s="232" t="s">
        <v>143</v>
      </c>
      <c r="B95" s="329" t="s">
        <v>144</v>
      </c>
      <c r="C95" s="359">
        <v>2116987</v>
      </c>
      <c r="D95" s="359">
        <v>1166640</v>
      </c>
      <c r="E95" s="359">
        <v>561643</v>
      </c>
      <c r="F95" s="128">
        <f t="shared" si="46"/>
        <v>26.530299902644654</v>
      </c>
      <c r="G95" s="563">
        <f t="shared" si="47"/>
        <v>48.141928958376191</v>
      </c>
      <c r="H95" s="640">
        <f t="shared" si="48"/>
        <v>-604997</v>
      </c>
      <c r="I95" s="72"/>
      <c r="J95" s="121">
        <f t="shared" si="49"/>
        <v>561643</v>
      </c>
      <c r="K95" s="118" t="e">
        <f t="shared" si="50"/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25.5" customHeight="1">
      <c r="A96" s="573" t="s">
        <v>145</v>
      </c>
      <c r="B96" s="329" t="s">
        <v>146</v>
      </c>
      <c r="C96" s="359">
        <v>22000</v>
      </c>
      <c r="D96" s="359">
        <v>22000</v>
      </c>
      <c r="E96" s="359">
        <v>0</v>
      </c>
      <c r="F96" s="128">
        <f>IF(C96=0,"",E96/C96*100)</f>
        <v>0</v>
      </c>
      <c r="G96" s="563">
        <f>IF(D96=0,"",E96/D96*100)</f>
        <v>0</v>
      </c>
      <c r="H96" s="640">
        <f t="shared" si="48"/>
        <v>-22000</v>
      </c>
      <c r="I96" s="72"/>
      <c r="J96" s="121">
        <f>E96-I96</f>
        <v>0</v>
      </c>
      <c r="K96" s="118" t="e">
        <f>E96/I96*100-100</f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30" hidden="1" customHeight="1">
      <c r="A97" s="287">
        <v>190</v>
      </c>
      <c r="B97" s="329" t="s">
        <v>243</v>
      </c>
      <c r="C97" s="359"/>
      <c r="D97" s="359"/>
      <c r="E97" s="359"/>
      <c r="F97" s="128" t="str">
        <f t="shared" si="46"/>
        <v/>
      </c>
      <c r="G97" s="563" t="str">
        <f t="shared" si="47"/>
        <v/>
      </c>
      <c r="H97" s="640">
        <f t="shared" si="48"/>
        <v>0</v>
      </c>
      <c r="I97" s="72">
        <v>0</v>
      </c>
      <c r="J97" s="121">
        <f t="shared" si="49"/>
        <v>0</v>
      </c>
      <c r="K97" s="118" t="e">
        <f t="shared" si="50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70" t="s">
        <v>31</v>
      </c>
      <c r="B98" s="353" t="s">
        <v>147</v>
      </c>
      <c r="C98" s="356">
        <f>C99+C100+C102+C109+C110+C105+C106+C107+C108+C104</f>
        <v>42802623</v>
      </c>
      <c r="D98" s="356">
        <f t="shared" ref="D98:E98" si="51">D99+D100+D102+D109+D110+D105+D106+D107+D108+D104</f>
        <v>26714970</v>
      </c>
      <c r="E98" s="356">
        <f t="shared" si="51"/>
        <v>20266561</v>
      </c>
      <c r="F98" s="537">
        <f t="shared" si="46"/>
        <v>47.348876259289064</v>
      </c>
      <c r="G98" s="547">
        <f t="shared" si="47"/>
        <v>75.86218887762179</v>
      </c>
      <c r="H98" s="641">
        <f t="shared" si="48"/>
        <v>-6448409</v>
      </c>
      <c r="I98" s="123">
        <f>SUM(I99:I103)</f>
        <v>0</v>
      </c>
      <c r="J98" s="121">
        <f t="shared" si="49"/>
        <v>20266561</v>
      </c>
      <c r="K98" s="118" t="e">
        <f t="shared" si="50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220" customFormat="1" ht="27" customHeight="1">
      <c r="A99" s="569" t="s">
        <v>148</v>
      </c>
      <c r="B99" s="531" t="s">
        <v>149</v>
      </c>
      <c r="C99" s="359">
        <v>8780926</v>
      </c>
      <c r="D99" s="359">
        <v>4768566</v>
      </c>
      <c r="E99" s="359">
        <v>3278716</v>
      </c>
      <c r="F99" s="128">
        <f t="shared" si="46"/>
        <v>37.339068795250071</v>
      </c>
      <c r="G99" s="563">
        <f t="shared" si="47"/>
        <v>68.756854786113891</v>
      </c>
      <c r="H99" s="640">
        <f t="shared" si="48"/>
        <v>-1489850</v>
      </c>
      <c r="I99" s="72"/>
      <c r="J99" s="121">
        <f t="shared" si="49"/>
        <v>3278716</v>
      </c>
      <c r="K99" s="118" t="e">
        <f t="shared" si="50"/>
        <v>#DIV/0!</v>
      </c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s="300" customFormat="1" ht="40.5" customHeight="1">
      <c r="A100" s="231" t="s">
        <v>150</v>
      </c>
      <c r="B100" s="324" t="s">
        <v>253</v>
      </c>
      <c r="C100" s="361">
        <f>C101</f>
        <v>12830755</v>
      </c>
      <c r="D100" s="361">
        <f>D101</f>
        <v>8299481</v>
      </c>
      <c r="E100" s="361">
        <f>E101</f>
        <v>5405039</v>
      </c>
      <c r="F100" s="126">
        <f t="shared" si="46"/>
        <v>42.12565043912069</v>
      </c>
      <c r="G100" s="533">
        <f t="shared" si="47"/>
        <v>65.125024082831203</v>
      </c>
      <c r="H100" s="475">
        <f t="shared" si="48"/>
        <v>-2894442</v>
      </c>
      <c r="I100" s="138"/>
      <c r="J100" s="92">
        <f t="shared" si="49"/>
        <v>5405039</v>
      </c>
      <c r="K100" s="241" t="e">
        <f t="shared" si="50"/>
        <v>#DIV/0!</v>
      </c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</row>
    <row r="101" spans="1:25" s="220" customFormat="1" ht="44.25" customHeight="1">
      <c r="A101" s="232">
        <v>1021</v>
      </c>
      <c r="B101" s="329" t="s">
        <v>254</v>
      </c>
      <c r="C101" s="359">
        <v>12830755</v>
      </c>
      <c r="D101" s="359">
        <v>8299481</v>
      </c>
      <c r="E101" s="359">
        <v>5405039</v>
      </c>
      <c r="F101" s="128">
        <f t="shared" si="46"/>
        <v>42.12565043912069</v>
      </c>
      <c r="G101" s="563">
        <f t="shared" si="47"/>
        <v>65.125024082831203</v>
      </c>
      <c r="H101" s="640">
        <f t="shared" si="48"/>
        <v>-2894442</v>
      </c>
      <c r="I101" s="72"/>
      <c r="J101" s="121"/>
      <c r="K101" s="118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300" customFormat="1" ht="44.25" customHeight="1">
      <c r="A102" s="231">
        <v>1030</v>
      </c>
      <c r="B102" s="363" t="s">
        <v>255</v>
      </c>
      <c r="C102" s="361">
        <f>C103</f>
        <v>19094600</v>
      </c>
      <c r="D102" s="361">
        <f>D103</f>
        <v>11947700</v>
      </c>
      <c r="E102" s="361">
        <f>E103</f>
        <v>10185016</v>
      </c>
      <c r="F102" s="126">
        <f t="shared" si="46"/>
        <v>53.339771453709432</v>
      </c>
      <c r="G102" s="533">
        <f t="shared" si="47"/>
        <v>85.24666672246542</v>
      </c>
      <c r="H102" s="475">
        <f t="shared" si="48"/>
        <v>-1762684</v>
      </c>
      <c r="I102" s="138"/>
      <c r="J102" s="92"/>
      <c r="K102" s="241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</row>
    <row r="103" spans="1:25" s="220" customFormat="1" ht="44.25" customHeight="1">
      <c r="A103" s="232">
        <v>1031</v>
      </c>
      <c r="B103" s="364" t="s">
        <v>254</v>
      </c>
      <c r="C103" s="359">
        <v>19094600</v>
      </c>
      <c r="D103" s="359">
        <v>11947700</v>
      </c>
      <c r="E103" s="359">
        <v>10185016</v>
      </c>
      <c r="F103" s="128">
        <f t="shared" si="46"/>
        <v>53.339771453709432</v>
      </c>
      <c r="G103" s="563">
        <f t="shared" si="47"/>
        <v>85.24666672246542</v>
      </c>
      <c r="H103" s="640">
        <f t="shared" si="48"/>
        <v>-1762684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44.25" customHeight="1">
      <c r="A104" s="231">
        <v>1061</v>
      </c>
      <c r="B104" s="363" t="s">
        <v>254</v>
      </c>
      <c r="C104" s="361">
        <v>910482</v>
      </c>
      <c r="D104" s="361">
        <v>910482</v>
      </c>
      <c r="E104" s="361">
        <v>910482</v>
      </c>
      <c r="F104" s="126">
        <f t="shared" si="46"/>
        <v>100</v>
      </c>
      <c r="G104" s="533">
        <f t="shared" si="47"/>
        <v>100</v>
      </c>
      <c r="H104" s="475">
        <f t="shared" si="48"/>
        <v>0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33" customHeight="1">
      <c r="A105" s="231">
        <v>1080</v>
      </c>
      <c r="B105" s="363" t="s">
        <v>300</v>
      </c>
      <c r="C105" s="361">
        <v>1125000</v>
      </c>
      <c r="D105" s="361">
        <v>759000</v>
      </c>
      <c r="E105" s="361">
        <v>487308</v>
      </c>
      <c r="F105" s="126">
        <f t="shared" si="46"/>
        <v>43.316266666666664</v>
      </c>
      <c r="G105" s="533">
        <f t="shared" si="47"/>
        <v>64.203952569169971</v>
      </c>
      <c r="H105" s="475">
        <f t="shared" si="48"/>
        <v>-271692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21" customHeight="1">
      <c r="A106" s="231">
        <v>1142</v>
      </c>
      <c r="B106" s="363" t="s">
        <v>301</v>
      </c>
      <c r="C106" s="361">
        <v>5430</v>
      </c>
      <c r="D106" s="361">
        <v>5430</v>
      </c>
      <c r="E106" s="361">
        <v>0</v>
      </c>
      <c r="F106" s="126">
        <f t="shared" si="46"/>
        <v>0</v>
      </c>
      <c r="G106" s="533">
        <f t="shared" si="47"/>
        <v>0</v>
      </c>
      <c r="H106" s="475">
        <f t="shared" si="48"/>
        <v>-5430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0.6" customHeight="1">
      <c r="A107" s="231">
        <v>1181</v>
      </c>
      <c r="B107" s="363" t="s">
        <v>302</v>
      </c>
      <c r="C107" s="361"/>
      <c r="D107" s="361"/>
      <c r="E107" s="361"/>
      <c r="F107" s="126" t="str">
        <f t="shared" si="46"/>
        <v/>
      </c>
      <c r="G107" s="533" t="str">
        <f t="shared" si="47"/>
        <v/>
      </c>
      <c r="H107" s="475">
        <f t="shared" si="48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76.900000000000006" hidden="1" customHeight="1">
      <c r="A108" s="231">
        <v>1182</v>
      </c>
      <c r="B108" s="363" t="s">
        <v>303</v>
      </c>
      <c r="C108" s="361"/>
      <c r="D108" s="361"/>
      <c r="E108" s="361"/>
      <c r="F108" s="126" t="str">
        <f t="shared" si="46"/>
        <v/>
      </c>
      <c r="G108" s="533" t="str">
        <f t="shared" si="47"/>
        <v/>
      </c>
      <c r="H108" s="475">
        <f t="shared" si="48"/>
        <v>0</v>
      </c>
      <c r="I108" s="72"/>
      <c r="J108" s="121"/>
      <c r="K108" s="118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300" customFormat="1" ht="66.599999999999994" customHeight="1">
      <c r="A109" s="231">
        <v>1200</v>
      </c>
      <c r="B109" s="363" t="s">
        <v>256</v>
      </c>
      <c r="C109" s="361">
        <v>55430</v>
      </c>
      <c r="D109" s="361">
        <v>24311</v>
      </c>
      <c r="E109" s="361">
        <v>0</v>
      </c>
      <c r="F109" s="126">
        <f t="shared" si="46"/>
        <v>0</v>
      </c>
      <c r="G109" s="127">
        <f t="shared" si="47"/>
        <v>0</v>
      </c>
      <c r="H109" s="475">
        <f t="shared" si="48"/>
        <v>-24311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300" customFormat="1" ht="0.6" customHeight="1">
      <c r="A110" s="231">
        <v>1210</v>
      </c>
      <c r="B110" s="501" t="s">
        <v>287</v>
      </c>
      <c r="C110" s="361"/>
      <c r="D110" s="361"/>
      <c r="E110" s="361"/>
      <c r="F110" s="126" t="str">
        <f t="shared" si="46"/>
        <v/>
      </c>
      <c r="G110" s="127" t="str">
        <f t="shared" si="47"/>
        <v/>
      </c>
      <c r="H110" s="475">
        <f t="shared" si="48"/>
        <v>0</v>
      </c>
      <c r="I110" s="138"/>
      <c r="J110" s="92"/>
      <c r="K110" s="241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</row>
    <row r="111" spans="1:25" s="220" customFormat="1" ht="27" customHeight="1">
      <c r="A111" s="231" t="s">
        <v>32</v>
      </c>
      <c r="B111" s="324" t="s">
        <v>151</v>
      </c>
      <c r="C111" s="361">
        <f>SUM(C112:C112)</f>
        <v>1575946</v>
      </c>
      <c r="D111" s="361">
        <f>SUM(D112:D112)</f>
        <v>1575946</v>
      </c>
      <c r="E111" s="361">
        <f>SUM(E112:E112)</f>
        <v>462885</v>
      </c>
      <c r="F111" s="126">
        <f t="shared" si="46"/>
        <v>29.371882031490927</v>
      </c>
      <c r="G111" s="127">
        <f t="shared" si="47"/>
        <v>29.371882031490927</v>
      </c>
      <c r="H111" s="475">
        <f t="shared" si="48"/>
        <v>-1113061</v>
      </c>
      <c r="I111" s="137" t="e">
        <f>I112+#REF!</f>
        <v>#REF!</v>
      </c>
      <c r="J111" s="92" t="e">
        <f t="shared" si="49"/>
        <v>#REF!</v>
      </c>
      <c r="K111" s="241" t="e">
        <f t="shared" si="50"/>
        <v>#REF!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7" customHeight="1">
      <c r="A112" s="232" t="s">
        <v>23</v>
      </c>
      <c r="B112" s="329" t="s">
        <v>44</v>
      </c>
      <c r="C112" s="359">
        <v>1575946</v>
      </c>
      <c r="D112" s="359">
        <v>1575946</v>
      </c>
      <c r="E112" s="359">
        <v>462885</v>
      </c>
      <c r="F112" s="128">
        <f>IF(C112=0,"",E112/C112*100)</f>
        <v>29.371882031490927</v>
      </c>
      <c r="G112" s="563">
        <f>IF(D112=0,"",E112/D112*100)</f>
        <v>29.371882031490927</v>
      </c>
      <c r="H112" s="640">
        <f t="shared" si="48"/>
        <v>-1113061</v>
      </c>
      <c r="I112" s="72"/>
      <c r="J112" s="121">
        <f t="shared" si="49"/>
        <v>462885</v>
      </c>
      <c r="K112" s="118" t="e">
        <f t="shared" si="50"/>
        <v>#DIV/0!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23.25" customHeight="1">
      <c r="A113" s="231" t="s">
        <v>33</v>
      </c>
      <c r="B113" s="324" t="s">
        <v>42</v>
      </c>
      <c r="C113" s="356">
        <f>C115+C116+C118+C119+C114</f>
        <v>2171102</v>
      </c>
      <c r="D113" s="356">
        <f>D115+D116+D118+D119+D114</f>
        <v>1404122</v>
      </c>
      <c r="E113" s="356">
        <f t="shared" ref="E113" si="52">E115+E116+E118+E119+E114</f>
        <v>950539</v>
      </c>
      <c r="F113" s="126">
        <f t="shared" si="46"/>
        <v>43.781406861584578</v>
      </c>
      <c r="G113" s="127">
        <f t="shared" si="47"/>
        <v>67.696325532966512</v>
      </c>
      <c r="H113" s="475">
        <f t="shared" si="48"/>
        <v>-453583</v>
      </c>
      <c r="I113" s="123" t="e">
        <f>#REF!+I116+I117+I118+I119</f>
        <v>#REF!</v>
      </c>
      <c r="J113" s="92" t="e">
        <f t="shared" si="49"/>
        <v>#REF!</v>
      </c>
      <c r="K113" s="241" t="e">
        <f t="shared" si="50"/>
        <v>#REF!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31.9" customHeight="1">
      <c r="A114" s="232">
        <v>3032</v>
      </c>
      <c r="B114" s="346" t="s">
        <v>317</v>
      </c>
      <c r="C114" s="359">
        <v>8000</v>
      </c>
      <c r="D114" s="359">
        <v>8000</v>
      </c>
      <c r="E114" s="359">
        <v>2612</v>
      </c>
      <c r="F114" s="128">
        <f>IF(C114=0,"",E114/C114*100)</f>
        <v>32.65</v>
      </c>
      <c r="G114" s="129">
        <f>IF(D114=0,"",E114/D114*100)</f>
        <v>32.65</v>
      </c>
      <c r="H114" s="640">
        <f>E114-D114</f>
        <v>-5388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63" customHeight="1">
      <c r="A115" s="302">
        <v>3104</v>
      </c>
      <c r="B115" s="364" t="s">
        <v>264</v>
      </c>
      <c r="C115" s="359">
        <v>1555172</v>
      </c>
      <c r="D115" s="359">
        <v>788192</v>
      </c>
      <c r="E115" s="359">
        <v>735506</v>
      </c>
      <c r="F115" s="128">
        <f>IF(C115=0,"",E115/C115*100)</f>
        <v>47.294189967411967</v>
      </c>
      <c r="G115" s="129">
        <f>IF(D115=0,"",E115/D115*100)</f>
        <v>93.315588080061701</v>
      </c>
      <c r="H115" s="640">
        <f>E115-D115</f>
        <v>-52686</v>
      </c>
      <c r="I115" s="123"/>
      <c r="J115" s="92"/>
      <c r="K115" s="241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77.25" customHeight="1">
      <c r="A116" s="232">
        <v>3160</v>
      </c>
      <c r="B116" s="364" t="s">
        <v>257</v>
      </c>
      <c r="C116" s="359">
        <v>380000</v>
      </c>
      <c r="D116" s="359">
        <v>380000</v>
      </c>
      <c r="E116" s="359">
        <v>126327</v>
      </c>
      <c r="F116" s="128">
        <f t="shared" si="46"/>
        <v>33.243947368421054</v>
      </c>
      <c r="G116" s="563">
        <f t="shared" si="47"/>
        <v>33.243947368421054</v>
      </c>
      <c r="H116" s="640">
        <f t="shared" si="48"/>
        <v>-253673</v>
      </c>
      <c r="I116" s="72"/>
      <c r="J116" s="121">
        <f t="shared" si="49"/>
        <v>126327</v>
      </c>
      <c r="K116" s="118" t="e">
        <f t="shared" si="50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9" hidden="1" customHeight="1">
      <c r="A117" s="232">
        <v>3192</v>
      </c>
      <c r="B117" s="364" t="s">
        <v>156</v>
      </c>
      <c r="C117" s="359"/>
      <c r="D117" s="359"/>
      <c r="E117" s="359"/>
      <c r="F117" s="128" t="str">
        <f>IF(C117=0,"",E117/C117*100)</f>
        <v/>
      </c>
      <c r="G117" s="563" t="str">
        <f>IF(D117=0,"",E117/D117*100)</f>
        <v/>
      </c>
      <c r="H117" s="640">
        <f t="shared" si="48"/>
        <v>0</v>
      </c>
      <c r="I117" s="72"/>
      <c r="J117" s="121">
        <f t="shared" si="49"/>
        <v>0</v>
      </c>
      <c r="K117" s="118" t="e">
        <f t="shared" si="50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27" customHeight="1">
      <c r="A118" s="232" t="s">
        <v>154</v>
      </c>
      <c r="B118" s="329" t="s">
        <v>155</v>
      </c>
      <c r="C118" s="365">
        <v>7930</v>
      </c>
      <c r="D118" s="365">
        <v>7930</v>
      </c>
      <c r="E118" s="365">
        <v>1379</v>
      </c>
      <c r="F118" s="128">
        <f t="shared" si="46"/>
        <v>17.389659520807061</v>
      </c>
      <c r="G118" s="563">
        <f t="shared" si="47"/>
        <v>17.389659520807061</v>
      </c>
      <c r="H118" s="640">
        <f t="shared" si="48"/>
        <v>-6551</v>
      </c>
      <c r="I118" s="138"/>
      <c r="J118" s="92">
        <f t="shared" si="49"/>
        <v>1379</v>
      </c>
      <c r="K118" s="241" t="e">
        <f t="shared" si="50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34.5" customHeight="1">
      <c r="A119" s="232">
        <v>3242</v>
      </c>
      <c r="B119" s="329" t="s">
        <v>265</v>
      </c>
      <c r="C119" s="365">
        <v>220000</v>
      </c>
      <c r="D119" s="365">
        <v>220000</v>
      </c>
      <c r="E119" s="365">
        <v>84715</v>
      </c>
      <c r="F119" s="128">
        <f t="shared" si="46"/>
        <v>38.506818181818183</v>
      </c>
      <c r="G119" s="563">
        <f t="shared" si="47"/>
        <v>38.506818181818183</v>
      </c>
      <c r="H119" s="640">
        <f t="shared" si="48"/>
        <v>-135285</v>
      </c>
      <c r="I119" s="72"/>
      <c r="J119" s="121">
        <f t="shared" si="49"/>
        <v>84715</v>
      </c>
      <c r="K119" s="118" t="e">
        <f t="shared" si="50"/>
        <v>#DIV/0!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7" customHeight="1">
      <c r="A120" s="231" t="s">
        <v>34</v>
      </c>
      <c r="B120" s="324" t="s">
        <v>157</v>
      </c>
      <c r="C120" s="356">
        <f>C121+C122+C123</f>
        <v>4304955</v>
      </c>
      <c r="D120" s="356">
        <f>D121+D122+D123</f>
        <v>2479224</v>
      </c>
      <c r="E120" s="356">
        <f>E121+E122+E123</f>
        <v>1620863</v>
      </c>
      <c r="F120" s="126">
        <f t="shared" si="46"/>
        <v>37.651102044039945</v>
      </c>
      <c r="G120" s="533">
        <f t="shared" si="47"/>
        <v>65.377835968028705</v>
      </c>
      <c r="H120" s="475">
        <f t="shared" si="48"/>
        <v>-858361</v>
      </c>
      <c r="I120" s="137" t="e">
        <f>I121+#REF!+I122+I123</f>
        <v>#REF!</v>
      </c>
      <c r="J120" s="92" t="e">
        <f t="shared" si="49"/>
        <v>#REF!</v>
      </c>
      <c r="K120" s="241" t="e">
        <f t="shared" si="50"/>
        <v>#REF!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0" customFormat="1" ht="24.75" customHeight="1">
      <c r="A121" s="232" t="s">
        <v>158</v>
      </c>
      <c r="B121" s="329" t="s">
        <v>159</v>
      </c>
      <c r="C121" s="359">
        <v>1867907</v>
      </c>
      <c r="D121" s="359">
        <v>1072200</v>
      </c>
      <c r="E121" s="359">
        <v>712898</v>
      </c>
      <c r="F121" s="128">
        <f t="shared" si="46"/>
        <v>38.165604604511891</v>
      </c>
      <c r="G121" s="563">
        <f t="shared" si="47"/>
        <v>66.489274389106512</v>
      </c>
      <c r="H121" s="640">
        <f t="shared" si="48"/>
        <v>-359302</v>
      </c>
      <c r="I121" s="72"/>
      <c r="J121" s="121">
        <f t="shared" si="49"/>
        <v>712898</v>
      </c>
      <c r="K121" s="118" t="e">
        <f t="shared" si="50"/>
        <v>#DIV/0!</v>
      </c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s="222" customFormat="1" ht="48.75" customHeight="1">
      <c r="A122" s="232" t="s">
        <v>161</v>
      </c>
      <c r="B122" s="329" t="s">
        <v>162</v>
      </c>
      <c r="C122" s="359">
        <v>2387048</v>
      </c>
      <c r="D122" s="359">
        <v>1357024</v>
      </c>
      <c r="E122" s="359">
        <v>904670</v>
      </c>
      <c r="F122" s="128">
        <f t="shared" si="46"/>
        <v>37.899112208887296</v>
      </c>
      <c r="G122" s="563">
        <f t="shared" si="47"/>
        <v>66.66573325158582</v>
      </c>
      <c r="H122" s="640">
        <f t="shared" si="48"/>
        <v>-452354</v>
      </c>
      <c r="I122" s="72"/>
      <c r="J122" s="121">
        <f t="shared" si="49"/>
        <v>904670</v>
      </c>
      <c r="K122" s="118" t="e">
        <f t="shared" si="50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34.9" customHeight="1">
      <c r="A123" s="232">
        <v>4082</v>
      </c>
      <c r="B123" s="329" t="s">
        <v>163</v>
      </c>
      <c r="C123" s="359">
        <v>50000</v>
      </c>
      <c r="D123" s="359">
        <v>50000</v>
      </c>
      <c r="E123" s="359">
        <v>3295</v>
      </c>
      <c r="F123" s="128">
        <f t="shared" si="46"/>
        <v>6.59</v>
      </c>
      <c r="G123" s="129">
        <f t="shared" si="47"/>
        <v>6.59</v>
      </c>
      <c r="H123" s="640">
        <f t="shared" si="48"/>
        <v>-46705</v>
      </c>
      <c r="I123" s="72"/>
      <c r="J123" s="121">
        <f t="shared" si="49"/>
        <v>3295</v>
      </c>
      <c r="K123" s="118" t="e">
        <f t="shared" si="50"/>
        <v>#DIV/0!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7" customHeight="1">
      <c r="A124" s="231" t="s">
        <v>35</v>
      </c>
      <c r="B124" s="324" t="s">
        <v>164</v>
      </c>
      <c r="C124" s="356">
        <f>C125+C126</f>
        <v>40000</v>
      </c>
      <c r="D124" s="356">
        <f>D125+D126</f>
        <v>40000</v>
      </c>
      <c r="E124" s="356">
        <f>E125+E126</f>
        <v>0</v>
      </c>
      <c r="F124" s="126">
        <f t="shared" si="46"/>
        <v>0</v>
      </c>
      <c r="G124" s="127">
        <f t="shared" si="47"/>
        <v>0</v>
      </c>
      <c r="H124" s="475">
        <f t="shared" si="48"/>
        <v>-40000</v>
      </c>
      <c r="I124" s="137" t="e">
        <f>I125+I126+#REF!</f>
        <v>#REF!</v>
      </c>
      <c r="J124" s="92" t="e">
        <f t="shared" si="49"/>
        <v>#REF!</v>
      </c>
      <c r="K124" s="241" t="e">
        <f t="shared" si="50"/>
        <v>#REF!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21" hidden="1" customHeight="1">
      <c r="A125" s="232" t="s">
        <v>165</v>
      </c>
      <c r="B125" s="329" t="s">
        <v>166</v>
      </c>
      <c r="C125" s="365"/>
      <c r="D125" s="365"/>
      <c r="E125" s="365"/>
      <c r="F125" s="128" t="str">
        <f t="shared" si="46"/>
        <v/>
      </c>
      <c r="G125" s="129" t="str">
        <f t="shared" si="47"/>
        <v/>
      </c>
      <c r="H125" s="640">
        <f t="shared" si="48"/>
        <v>0</v>
      </c>
      <c r="I125" s="72"/>
      <c r="J125" s="121">
        <f t="shared" si="49"/>
        <v>0</v>
      </c>
      <c r="K125" s="118" t="e">
        <f t="shared" si="50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47.25" customHeight="1">
      <c r="A126" s="232">
        <v>5062</v>
      </c>
      <c r="B126" s="329" t="s">
        <v>266</v>
      </c>
      <c r="C126" s="365">
        <v>40000</v>
      </c>
      <c r="D126" s="365">
        <v>40000</v>
      </c>
      <c r="E126" s="365">
        <v>0</v>
      </c>
      <c r="F126" s="128">
        <f t="shared" si="46"/>
        <v>0</v>
      </c>
      <c r="G126" s="563">
        <f t="shared" si="47"/>
        <v>0</v>
      </c>
      <c r="H126" s="640">
        <f t="shared" si="48"/>
        <v>-40000</v>
      </c>
      <c r="I126" s="72"/>
      <c r="J126" s="121">
        <f t="shared" si="49"/>
        <v>0</v>
      </c>
      <c r="K126" s="118" t="e">
        <f t="shared" si="50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27" customHeight="1">
      <c r="A127" s="231" t="s">
        <v>25</v>
      </c>
      <c r="B127" s="324" t="s">
        <v>170</v>
      </c>
      <c r="C127" s="356">
        <f>C128+C129+C130+C131</f>
        <v>3892667</v>
      </c>
      <c r="D127" s="356">
        <f>D128+D129+D130+D131</f>
        <v>2753873</v>
      </c>
      <c r="E127" s="356">
        <f>E128+E129+E130+E131</f>
        <v>1409305</v>
      </c>
      <c r="F127" s="126">
        <f t="shared" si="46"/>
        <v>36.20409862955141</v>
      </c>
      <c r="G127" s="533">
        <f t="shared" si="47"/>
        <v>51.17538099977741</v>
      </c>
      <c r="H127" s="475">
        <f t="shared" si="48"/>
        <v>-1344568</v>
      </c>
      <c r="I127" s="123">
        <f>I128+I130+I132+I131</f>
        <v>0</v>
      </c>
      <c r="J127" s="92">
        <f t="shared" si="49"/>
        <v>1409305</v>
      </c>
      <c r="K127" s="241" t="e">
        <f t="shared" si="50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38.25" customHeight="1">
      <c r="A128" s="232">
        <v>6013</v>
      </c>
      <c r="B128" s="329" t="s">
        <v>267</v>
      </c>
      <c r="C128" s="359">
        <v>12667</v>
      </c>
      <c r="D128" s="359">
        <v>12667</v>
      </c>
      <c r="E128" s="359">
        <v>3226</v>
      </c>
      <c r="F128" s="128">
        <f t="shared" si="46"/>
        <v>25.467750848661879</v>
      </c>
      <c r="G128" s="563">
        <f t="shared" si="47"/>
        <v>25.467750848661879</v>
      </c>
      <c r="H128" s="640">
        <f t="shared" si="48"/>
        <v>-9441</v>
      </c>
      <c r="I128" s="72"/>
      <c r="J128" s="121">
        <f t="shared" si="49"/>
        <v>3226</v>
      </c>
      <c r="K128" s="118" t="e">
        <f t="shared" si="50"/>
        <v>#DIV/0!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7" customHeight="1">
      <c r="A129" s="232">
        <v>6014</v>
      </c>
      <c r="B129" s="329" t="s">
        <v>268</v>
      </c>
      <c r="C129" s="359">
        <v>1000000</v>
      </c>
      <c r="D129" s="359">
        <v>580000</v>
      </c>
      <c r="E129" s="359">
        <v>412768</v>
      </c>
      <c r="F129" s="128">
        <f t="shared" si="46"/>
        <v>41.276800000000001</v>
      </c>
      <c r="G129" s="563">
        <f t="shared" si="47"/>
        <v>71.166896551724136</v>
      </c>
      <c r="H129" s="640">
        <f t="shared" si="48"/>
        <v>-167232</v>
      </c>
      <c r="I129" s="72"/>
      <c r="J129" s="121"/>
      <c r="K129" s="118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46.9" hidden="1" customHeight="1">
      <c r="A130" s="232" t="s">
        <v>171</v>
      </c>
      <c r="B130" s="329" t="s">
        <v>172</v>
      </c>
      <c r="C130" s="359"/>
      <c r="D130" s="359"/>
      <c r="E130" s="359"/>
      <c r="F130" s="128" t="str">
        <f t="shared" si="46"/>
        <v/>
      </c>
      <c r="G130" s="563" t="str">
        <f t="shared" si="47"/>
        <v/>
      </c>
      <c r="H130" s="640">
        <f t="shared" si="48"/>
        <v>0</v>
      </c>
      <c r="I130" s="72"/>
      <c r="J130" s="121">
        <f t="shared" si="49"/>
        <v>0</v>
      </c>
      <c r="K130" s="118" t="e">
        <f t="shared" si="50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27.75" customHeight="1">
      <c r="A131" s="232" t="s">
        <v>173</v>
      </c>
      <c r="B131" s="329" t="s">
        <v>174</v>
      </c>
      <c r="C131" s="359">
        <v>2880000</v>
      </c>
      <c r="D131" s="359">
        <v>2161206</v>
      </c>
      <c r="E131" s="359">
        <v>993311</v>
      </c>
      <c r="F131" s="128">
        <f t="shared" si="46"/>
        <v>34.489965277777777</v>
      </c>
      <c r="G131" s="563">
        <f t="shared" si="47"/>
        <v>45.960958835020818</v>
      </c>
      <c r="H131" s="640">
        <f t="shared" si="48"/>
        <v>-1167895</v>
      </c>
      <c r="I131" s="72"/>
      <c r="J131" s="121">
        <f t="shared" si="49"/>
        <v>993311</v>
      </c>
      <c r="K131" s="118" t="e">
        <f t="shared" si="50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15.75" hidden="1" customHeight="1">
      <c r="A132" s="232" t="s">
        <v>175</v>
      </c>
      <c r="B132" s="329" t="s">
        <v>176</v>
      </c>
      <c r="C132" s="359"/>
      <c r="D132" s="359"/>
      <c r="E132" s="359"/>
      <c r="F132" s="128" t="str">
        <f t="shared" si="46"/>
        <v/>
      </c>
      <c r="G132" s="563" t="str">
        <f t="shared" si="47"/>
        <v/>
      </c>
      <c r="H132" s="640">
        <f t="shared" si="48"/>
        <v>0</v>
      </c>
      <c r="I132" s="72"/>
      <c r="J132" s="121">
        <f t="shared" si="49"/>
        <v>0</v>
      </c>
      <c r="K132" s="118" t="e">
        <f t="shared" si="50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24" customHeight="1">
      <c r="A133" s="570">
        <v>7000</v>
      </c>
      <c r="B133" s="353" t="s">
        <v>269</v>
      </c>
      <c r="C133" s="356">
        <f>SUM(C134+C136+C137+C138+C139+C141+C142)</f>
        <v>527956</v>
      </c>
      <c r="D133" s="356">
        <f t="shared" ref="D133:E133" si="53">SUM(D134+D138+D139+D140)</f>
        <v>527956</v>
      </c>
      <c r="E133" s="356">
        <f t="shared" si="53"/>
        <v>0</v>
      </c>
      <c r="F133" s="473">
        <f t="shared" si="46"/>
        <v>0</v>
      </c>
      <c r="G133" s="556">
        <f t="shared" si="47"/>
        <v>0</v>
      </c>
      <c r="H133" s="475">
        <f t="shared" si="48"/>
        <v>-527956</v>
      </c>
      <c r="I133" s="123">
        <f>I134</f>
        <v>0</v>
      </c>
      <c r="J133" s="92">
        <f t="shared" si="49"/>
        <v>0</v>
      </c>
      <c r="K133" s="241" t="e">
        <f t="shared" si="50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1.5" hidden="1" customHeight="1">
      <c r="A134" s="232" t="s">
        <v>177</v>
      </c>
      <c r="B134" s="329" t="s">
        <v>178</v>
      </c>
      <c r="C134" s="359"/>
      <c r="D134" s="359"/>
      <c r="E134" s="359">
        <v>0</v>
      </c>
      <c r="F134" s="128" t="str">
        <f t="shared" si="46"/>
        <v/>
      </c>
      <c r="G134" s="129" t="str">
        <f t="shared" si="47"/>
        <v/>
      </c>
      <c r="H134" s="640">
        <f t="shared" si="48"/>
        <v>0</v>
      </c>
      <c r="I134" s="72"/>
      <c r="J134" s="121">
        <f t="shared" si="49"/>
        <v>0</v>
      </c>
      <c r="K134" s="118" t="e">
        <f t="shared" si="50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.75" hidden="1" customHeight="1">
      <c r="A135" s="231" t="s">
        <v>36</v>
      </c>
      <c r="B135" s="324" t="s">
        <v>179</v>
      </c>
      <c r="C135" s="356">
        <f>C136</f>
        <v>0</v>
      </c>
      <c r="D135" s="356">
        <f>D136</f>
        <v>0</v>
      </c>
      <c r="E135" s="356">
        <f>E136</f>
        <v>0</v>
      </c>
      <c r="F135" s="126" t="str">
        <f t="shared" si="46"/>
        <v/>
      </c>
      <c r="G135" s="127" t="str">
        <f t="shared" si="47"/>
        <v/>
      </c>
      <c r="H135" s="475">
        <f t="shared" si="48"/>
        <v>0</v>
      </c>
      <c r="I135" s="137">
        <f>I136</f>
        <v>0</v>
      </c>
      <c r="J135" s="92">
        <f t="shared" si="49"/>
        <v>0</v>
      </c>
      <c r="K135" s="241" t="e">
        <f t="shared" si="50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2" customFormat="1" ht="20.25" hidden="1" customHeight="1">
      <c r="A136" s="232" t="s">
        <v>180</v>
      </c>
      <c r="B136" s="329" t="s">
        <v>181</v>
      </c>
      <c r="C136" s="359"/>
      <c r="D136" s="359"/>
      <c r="E136" s="359"/>
      <c r="F136" s="128" t="str">
        <f t="shared" si="46"/>
        <v/>
      </c>
      <c r="G136" s="129" t="str">
        <f t="shared" si="47"/>
        <v/>
      </c>
      <c r="H136" s="640">
        <f t="shared" si="48"/>
        <v>0</v>
      </c>
      <c r="I136" s="72">
        <v>0</v>
      </c>
      <c r="J136" s="121">
        <f t="shared" si="49"/>
        <v>0</v>
      </c>
      <c r="K136" s="118" t="e">
        <f t="shared" si="50"/>
        <v>#DIV/0!</v>
      </c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1:25" s="224" customFormat="1" ht="19.5" hidden="1" customHeight="1">
      <c r="A137" s="232" t="s">
        <v>183</v>
      </c>
      <c r="B137" s="329" t="s">
        <v>184</v>
      </c>
      <c r="C137" s="366"/>
      <c r="D137" s="367"/>
      <c r="E137" s="366"/>
      <c r="F137" s="128" t="str">
        <f t="shared" si="46"/>
        <v/>
      </c>
      <c r="G137" s="129" t="str">
        <f t="shared" si="47"/>
        <v/>
      </c>
      <c r="H137" s="640">
        <f t="shared" si="48"/>
        <v>0</v>
      </c>
      <c r="I137" s="72"/>
      <c r="J137" s="121">
        <f t="shared" si="49"/>
        <v>0</v>
      </c>
      <c r="K137" s="118" t="e">
        <f t="shared" si="50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3.75" customHeight="1">
      <c r="A138" s="232">
        <v>7461</v>
      </c>
      <c r="B138" s="329" t="s">
        <v>258</v>
      </c>
      <c r="C138" s="368">
        <v>316956</v>
      </c>
      <c r="D138" s="368">
        <v>316956</v>
      </c>
      <c r="E138" s="368">
        <v>0</v>
      </c>
      <c r="F138" s="128">
        <f t="shared" si="46"/>
        <v>0</v>
      </c>
      <c r="G138" s="563">
        <f t="shared" si="47"/>
        <v>0</v>
      </c>
      <c r="H138" s="640">
        <f t="shared" si="48"/>
        <v>-316956</v>
      </c>
      <c r="I138" s="72"/>
      <c r="J138" s="121">
        <f t="shared" si="49"/>
        <v>0</v>
      </c>
      <c r="K138" s="118" t="e">
        <f t="shared" si="50"/>
        <v>#DIV/0!</v>
      </c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4" customFormat="1" ht="0.75" hidden="1" customHeight="1">
      <c r="A139" s="569">
        <v>7540</v>
      </c>
      <c r="B139" s="531" t="s">
        <v>304</v>
      </c>
      <c r="C139" s="368"/>
      <c r="D139" s="368"/>
      <c r="E139" s="368"/>
      <c r="F139" s="128" t="str">
        <f t="shared" si="46"/>
        <v/>
      </c>
      <c r="G139" s="563" t="str">
        <f t="shared" si="47"/>
        <v/>
      </c>
      <c r="H139" s="640">
        <f t="shared" si="48"/>
        <v>0</v>
      </c>
      <c r="I139" s="72"/>
      <c r="J139" s="121"/>
      <c r="K139" s="118"/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</row>
    <row r="140" spans="1:25" s="226" customFormat="1" ht="35.25" customHeight="1">
      <c r="A140" s="231" t="s">
        <v>39</v>
      </c>
      <c r="B140" s="324" t="s">
        <v>51</v>
      </c>
      <c r="C140" s="369">
        <f>C141+C142</f>
        <v>211000</v>
      </c>
      <c r="D140" s="369">
        <f t="shared" ref="D140:E140" si="54">D141+D142</f>
        <v>211000</v>
      </c>
      <c r="E140" s="369">
        <f t="shared" si="54"/>
        <v>0</v>
      </c>
      <c r="F140" s="126">
        <f t="shared" si="46"/>
        <v>0</v>
      </c>
      <c r="G140" s="533">
        <f t="shared" si="47"/>
        <v>0</v>
      </c>
      <c r="H140" s="475">
        <f t="shared" si="48"/>
        <v>-211000</v>
      </c>
      <c r="I140" s="102">
        <f>I141</f>
        <v>0</v>
      </c>
      <c r="J140" s="92">
        <f t="shared" si="49"/>
        <v>0</v>
      </c>
      <c r="K140" s="241" t="e">
        <f t="shared" si="50"/>
        <v>#DIV/0!</v>
      </c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</row>
    <row r="141" spans="1:25" s="224" customFormat="1" ht="33" customHeight="1">
      <c r="A141" s="232" t="s">
        <v>185</v>
      </c>
      <c r="B141" s="329" t="s">
        <v>186</v>
      </c>
      <c r="C141" s="368">
        <v>11000</v>
      </c>
      <c r="D141" s="368">
        <v>11000</v>
      </c>
      <c r="E141" s="368">
        <v>0</v>
      </c>
      <c r="F141" s="128">
        <f t="shared" si="46"/>
        <v>0</v>
      </c>
      <c r="G141" s="563">
        <f t="shared" si="47"/>
        <v>0</v>
      </c>
      <c r="H141" s="640">
        <f t="shared" si="48"/>
        <v>-11000</v>
      </c>
      <c r="I141" s="72"/>
      <c r="J141" s="121">
        <f t="shared" si="49"/>
        <v>0</v>
      </c>
      <c r="K141" s="118" t="e">
        <f t="shared" si="50"/>
        <v>#DIV/0!</v>
      </c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25.5" customHeight="1">
      <c r="A142" s="232">
        <v>7693</v>
      </c>
      <c r="B142" s="329" t="s">
        <v>305</v>
      </c>
      <c r="C142" s="368">
        <v>200000</v>
      </c>
      <c r="D142" s="368">
        <v>200000</v>
      </c>
      <c r="E142" s="368">
        <v>0</v>
      </c>
      <c r="F142" s="128">
        <f t="shared" si="46"/>
        <v>0</v>
      </c>
      <c r="G142" s="563">
        <f t="shared" si="47"/>
        <v>0</v>
      </c>
      <c r="H142" s="640">
        <f t="shared" si="48"/>
        <v>-200000</v>
      </c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35.25" hidden="1" customHeight="1">
      <c r="A143" s="232"/>
      <c r="B143" s="329"/>
      <c r="C143" s="368"/>
      <c r="D143" s="368"/>
      <c r="E143" s="368"/>
      <c r="F143" s="128"/>
      <c r="G143" s="563"/>
      <c r="H143" s="640"/>
      <c r="I143" s="72"/>
      <c r="J143" s="121"/>
      <c r="K143" s="118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6" customFormat="1" ht="33.75" customHeight="1">
      <c r="A144" s="570">
        <v>8000</v>
      </c>
      <c r="B144" s="353" t="s">
        <v>146</v>
      </c>
      <c r="C144" s="369">
        <f>C145+C146</f>
        <v>2556000</v>
      </c>
      <c r="D144" s="369">
        <f t="shared" ref="D144:E144" si="55">D145+D146</f>
        <v>1742000</v>
      </c>
      <c r="E144" s="369">
        <f t="shared" si="55"/>
        <v>977821</v>
      </c>
      <c r="F144" s="126">
        <f t="shared" si="46"/>
        <v>38.255907668231615</v>
      </c>
      <c r="G144" s="568">
        <f>IF(D144=0,"",F144/D144*100)</f>
        <v>2.1960911405414247E-3</v>
      </c>
      <c r="H144" s="475">
        <f t="shared" si="48"/>
        <v>-764179</v>
      </c>
      <c r="I144" s="138">
        <v>0</v>
      </c>
      <c r="J144" s="121">
        <f>E144-I144</f>
        <v>977821</v>
      </c>
      <c r="K144" s="118" t="e">
        <f>E144/I144*100-100</f>
        <v>#DIV/0!</v>
      </c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</row>
    <row r="145" spans="1:25" s="224" customFormat="1" ht="33" customHeight="1">
      <c r="A145" s="232">
        <v>8130</v>
      </c>
      <c r="B145" s="329" t="s">
        <v>270</v>
      </c>
      <c r="C145" s="368">
        <v>1956000</v>
      </c>
      <c r="D145" s="368">
        <v>1142000</v>
      </c>
      <c r="E145" s="368">
        <v>977821</v>
      </c>
      <c r="F145" s="128">
        <f t="shared" si="46"/>
        <v>49.990848670756641</v>
      </c>
      <c r="G145" s="563">
        <f>IF(D145=0,"",E145/D145*100)</f>
        <v>85.623555166374771</v>
      </c>
      <c r="H145" s="640">
        <f>E145-D145</f>
        <v>-164179</v>
      </c>
      <c r="I145" s="72">
        <v>0</v>
      </c>
      <c r="J145" s="121">
        <f>E145-I145</f>
        <v>977821</v>
      </c>
      <c r="K145" s="118" t="e">
        <f>E145/I145*100-100</f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27.75" customHeight="1">
      <c r="A146" s="231">
        <v>8700</v>
      </c>
      <c r="B146" s="324" t="s">
        <v>45</v>
      </c>
      <c r="C146" s="362">
        <f>SUM(C147)</f>
        <v>600000</v>
      </c>
      <c r="D146" s="362">
        <f t="shared" ref="D146:E146" si="56">SUM(D147)</f>
        <v>600000</v>
      </c>
      <c r="E146" s="362">
        <f t="shared" si="56"/>
        <v>0</v>
      </c>
      <c r="F146" s="126">
        <f t="shared" si="46"/>
        <v>0</v>
      </c>
      <c r="G146" s="533">
        <f t="shared" si="47"/>
        <v>0</v>
      </c>
      <c r="H146" s="475">
        <f t="shared" si="48"/>
        <v>-600000</v>
      </c>
      <c r="I146" s="72">
        <v>0</v>
      </c>
      <c r="J146" s="121">
        <f t="shared" si="49"/>
        <v>0</v>
      </c>
      <c r="K146" s="118" t="e">
        <f t="shared" si="50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1.5" customHeight="1">
      <c r="A147" s="232">
        <v>8710</v>
      </c>
      <c r="B147" s="329" t="s">
        <v>318</v>
      </c>
      <c r="C147" s="360">
        <v>600000</v>
      </c>
      <c r="D147" s="360">
        <v>600000</v>
      </c>
      <c r="E147" s="360">
        <f>E148</f>
        <v>0</v>
      </c>
      <c r="F147" s="128">
        <f t="shared" si="46"/>
        <v>0</v>
      </c>
      <c r="G147" s="563">
        <f t="shared" si="47"/>
        <v>0</v>
      </c>
      <c r="H147" s="640">
        <f t="shared" si="48"/>
        <v>-600000</v>
      </c>
      <c r="I147" s="117">
        <f>I148+I149</f>
        <v>0</v>
      </c>
      <c r="J147" s="92">
        <f t="shared" si="49"/>
        <v>0</v>
      </c>
      <c r="K147" s="241" t="e">
        <f t="shared" si="50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1.5" hidden="1" customHeight="1">
      <c r="A148" s="232" t="s">
        <v>190</v>
      </c>
      <c r="B148" s="329" t="s">
        <v>191</v>
      </c>
      <c r="C148" s="360"/>
      <c r="D148" s="360"/>
      <c r="E148" s="360"/>
      <c r="F148" s="128" t="str">
        <f t="shared" si="46"/>
        <v/>
      </c>
      <c r="G148" s="563" t="str">
        <f t="shared" si="47"/>
        <v/>
      </c>
      <c r="H148" s="640">
        <f t="shared" si="48"/>
        <v>0</v>
      </c>
      <c r="I148" s="72"/>
      <c r="J148" s="121">
        <f t="shared" si="49"/>
        <v>0</v>
      </c>
      <c r="K148" s="118" t="e">
        <f t="shared" si="50"/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28.5" customHeight="1">
      <c r="A149" s="231">
        <v>9000</v>
      </c>
      <c r="B149" s="324" t="s">
        <v>271</v>
      </c>
      <c r="C149" s="362">
        <f>SUM(C150+C151+C152)</f>
        <v>190000</v>
      </c>
      <c r="D149" s="362">
        <f t="shared" ref="D149:E149" si="57">SUM(D150+D151+D152)</f>
        <v>190000</v>
      </c>
      <c r="E149" s="362">
        <f t="shared" si="57"/>
        <v>190000</v>
      </c>
      <c r="F149" s="126">
        <f t="shared" si="46"/>
        <v>100</v>
      </c>
      <c r="G149" s="533">
        <f>IF(D149=0,"",E149/D149*100)</f>
        <v>100</v>
      </c>
      <c r="H149" s="475">
        <f>E149-D149</f>
        <v>0</v>
      </c>
      <c r="I149" s="72"/>
      <c r="J149" s="121">
        <f>E149-I149</f>
        <v>190000</v>
      </c>
      <c r="K149" s="118" t="e">
        <f>E149/I149*100-100</f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1.5" hidden="1" customHeight="1">
      <c r="A150" s="231" t="s">
        <v>192</v>
      </c>
      <c r="B150" s="324" t="s">
        <v>195</v>
      </c>
      <c r="C150" s="360"/>
      <c r="D150" s="360"/>
      <c r="E150" s="360"/>
      <c r="F150" s="128" t="str">
        <f t="shared" si="46"/>
        <v/>
      </c>
      <c r="G150" s="563" t="str">
        <f t="shared" si="47"/>
        <v/>
      </c>
      <c r="H150" s="640">
        <f t="shared" si="48"/>
        <v>0</v>
      </c>
      <c r="I150" s="72"/>
      <c r="J150" s="121">
        <f t="shared" si="49"/>
        <v>0</v>
      </c>
      <c r="K150" s="118" t="e">
        <f t="shared" si="50"/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5.25" customHeight="1">
      <c r="A151" s="231">
        <v>9700</v>
      </c>
      <c r="B151" s="324" t="s">
        <v>56</v>
      </c>
      <c r="C151" s="360">
        <v>50000</v>
      </c>
      <c r="D151" s="360">
        <v>50000</v>
      </c>
      <c r="E151" s="360">
        <v>50000</v>
      </c>
      <c r="F151" s="128">
        <f t="shared" si="46"/>
        <v>100</v>
      </c>
      <c r="G151" s="563">
        <f>IF(D151=0,"",E151/D151*100)</f>
        <v>100</v>
      </c>
      <c r="H151" s="640">
        <f>E151-D151</f>
        <v>0</v>
      </c>
      <c r="I151" s="72"/>
      <c r="J151" s="121">
        <f>E151-I151</f>
        <v>50000</v>
      </c>
      <c r="K151" s="118" t="e">
        <f>E151/I151*100-100</f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3.75" customHeight="1">
      <c r="A152" s="231" t="s">
        <v>54</v>
      </c>
      <c r="B152" s="324" t="s">
        <v>193</v>
      </c>
      <c r="C152" s="360">
        <v>140000</v>
      </c>
      <c r="D152" s="360">
        <v>140000</v>
      </c>
      <c r="E152" s="360">
        <v>140000</v>
      </c>
      <c r="F152" s="128">
        <f t="shared" si="46"/>
        <v>100</v>
      </c>
      <c r="G152" s="563">
        <f t="shared" si="47"/>
        <v>100</v>
      </c>
      <c r="H152" s="640">
        <f t="shared" si="48"/>
        <v>0</v>
      </c>
      <c r="I152" s="72"/>
      <c r="J152" s="121">
        <f t="shared" si="49"/>
        <v>140000</v>
      </c>
      <c r="K152" s="118" t="e">
        <f t="shared" si="50"/>
        <v>#DIV/0!</v>
      </c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27" hidden="1" customHeight="1">
      <c r="A153" s="232"/>
      <c r="B153" s="329"/>
      <c r="C153" s="360"/>
      <c r="D153" s="360"/>
      <c r="E153" s="360">
        <v>0</v>
      </c>
      <c r="F153" s="128" t="str">
        <f t="shared" si="46"/>
        <v/>
      </c>
      <c r="G153" s="563" t="str">
        <f t="shared" si="47"/>
        <v/>
      </c>
      <c r="H153" s="360">
        <f t="shared" si="48"/>
        <v>0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0.75" hidden="1" customHeight="1">
      <c r="A154" s="232"/>
      <c r="B154" s="450"/>
      <c r="C154" s="360"/>
      <c r="D154" s="360"/>
      <c r="E154" s="360"/>
      <c r="F154" s="128" t="str">
        <f t="shared" si="46"/>
        <v/>
      </c>
      <c r="G154" s="129" t="str">
        <f t="shared" si="47"/>
        <v/>
      </c>
      <c r="H154" s="360">
        <f t="shared" si="48"/>
        <v>0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3" hidden="1" customHeight="1">
      <c r="A155" s="570"/>
      <c r="B155" s="353"/>
      <c r="C155" s="475">
        <f>SUM(C156:C157)</f>
        <v>0</v>
      </c>
      <c r="D155" s="475">
        <f t="shared" ref="D155:E155" si="58">SUM(D156:D157)</f>
        <v>0</v>
      </c>
      <c r="E155" s="475">
        <f t="shared" si="58"/>
        <v>0</v>
      </c>
      <c r="F155" s="589">
        <f t="shared" ref="F155:H155" si="59">SUM(F156)</f>
        <v>0</v>
      </c>
      <c r="G155" s="588">
        <f t="shared" si="59"/>
        <v>0</v>
      </c>
      <c r="H155" s="362">
        <f t="shared" si="59"/>
        <v>0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9.25" hidden="1" customHeight="1">
      <c r="A156" s="232"/>
      <c r="B156" s="329"/>
      <c r="C156" s="360"/>
      <c r="D156" s="360"/>
      <c r="E156" s="360"/>
      <c r="F156" s="571" t="str">
        <f t="shared" si="46"/>
        <v/>
      </c>
      <c r="G156" s="563" t="str">
        <f t="shared" si="47"/>
        <v/>
      </c>
      <c r="H156" s="360">
        <f t="shared" si="48"/>
        <v>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" hidden="1" customHeight="1">
      <c r="A157" s="231">
        <v>8700</v>
      </c>
      <c r="B157" s="324" t="s">
        <v>45</v>
      </c>
      <c r="C157" s="362">
        <f>SUM(C158)</f>
        <v>0</v>
      </c>
      <c r="D157" s="362">
        <f t="shared" ref="D157:E157" si="60">SUM(D158)</f>
        <v>0</v>
      </c>
      <c r="E157" s="362">
        <f t="shared" si="60"/>
        <v>0</v>
      </c>
      <c r="F157" s="568" t="str">
        <f t="shared" si="46"/>
        <v/>
      </c>
      <c r="G157" s="533" t="str">
        <f t="shared" si="47"/>
        <v/>
      </c>
      <c r="H157" s="362">
        <f t="shared" si="48"/>
        <v>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1" hidden="1" customHeight="1">
      <c r="A158" s="232">
        <v>8710</v>
      </c>
      <c r="B158" s="329" t="s">
        <v>318</v>
      </c>
      <c r="C158" s="360"/>
      <c r="D158" s="360"/>
      <c r="E158" s="360">
        <v>0</v>
      </c>
      <c r="F158" s="571" t="str">
        <f t="shared" ref="F158:F163" si="61">IF(C158=0,"",E158/C158*100)</f>
        <v/>
      </c>
      <c r="G158" s="563" t="str">
        <f t="shared" si="47"/>
        <v/>
      </c>
      <c r="H158" s="360">
        <f t="shared" si="48"/>
        <v>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27.75" hidden="1" customHeight="1">
      <c r="A159" s="231">
        <v>9000</v>
      </c>
      <c r="B159" s="324" t="s">
        <v>271</v>
      </c>
      <c r="C159" s="362">
        <f t="shared" ref="C159:H159" si="62">SUM(C161)</f>
        <v>0</v>
      </c>
      <c r="D159" s="362">
        <f t="shared" si="62"/>
        <v>0</v>
      </c>
      <c r="E159" s="362">
        <f t="shared" si="62"/>
        <v>0</v>
      </c>
      <c r="F159" s="362">
        <f t="shared" si="62"/>
        <v>0</v>
      </c>
      <c r="G159" s="572">
        <f t="shared" si="62"/>
        <v>0</v>
      </c>
      <c r="H159" s="362">
        <f t="shared" si="62"/>
        <v>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27.75" hidden="1" customHeight="1">
      <c r="A160" s="231"/>
      <c r="B160" s="324"/>
      <c r="C160" s="362"/>
      <c r="D160" s="362"/>
      <c r="E160" s="362"/>
      <c r="F160" s="504"/>
      <c r="G160" s="568"/>
      <c r="H160" s="362"/>
      <c r="I160" s="72"/>
      <c r="J160" s="121"/>
      <c r="K160" s="118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50.25" hidden="1" customHeight="1">
      <c r="A161" s="232">
        <v>9800</v>
      </c>
      <c r="B161" s="329" t="s">
        <v>193</v>
      </c>
      <c r="C161" s="360"/>
      <c r="D161" s="360"/>
      <c r="E161" s="360">
        <v>0</v>
      </c>
      <c r="F161" s="128" t="str">
        <f t="shared" si="61"/>
        <v/>
      </c>
      <c r="G161" s="129" t="str">
        <f t="shared" si="47"/>
        <v/>
      </c>
      <c r="H161" s="360">
        <f t="shared" si="48"/>
        <v>0</v>
      </c>
      <c r="I161" s="72"/>
      <c r="J161" s="121"/>
      <c r="K161" s="118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4" customFormat="1" ht="30" customHeight="1" thickBot="1">
      <c r="A162" s="451">
        <v>900201</v>
      </c>
      <c r="B162" s="370" t="s">
        <v>196</v>
      </c>
      <c r="C162" s="371">
        <f>C93+C98+C111+C113+C120+C124+C127+C133+C144+C149</f>
        <v>69839036</v>
      </c>
      <c r="D162" s="371">
        <f t="shared" ref="D162:E162" si="63">D93+D98+D111+D113+D120+D124+D127+D133+D144+D149</f>
        <v>44178667</v>
      </c>
      <c r="E162" s="371">
        <f>E93+E98+E111+E113+E120+E124+E127+E133+E144+E149</f>
        <v>29851167</v>
      </c>
      <c r="F162" s="308">
        <f t="shared" si="61"/>
        <v>42.742810768464793</v>
      </c>
      <c r="G162" s="574">
        <f>IF(D162=0,"",E162/D162*100)</f>
        <v>67.569188993411686</v>
      </c>
      <c r="H162" s="372">
        <f>E162-D162</f>
        <v>-14327500</v>
      </c>
      <c r="I162" s="190" t="e">
        <f>I93+I98+I111+I113+I120+I124+I127+I133+I135+#REF!+I140+I144+I146+I147+I150+I151+I152</f>
        <v>#REF!</v>
      </c>
      <c r="J162" s="242" t="e">
        <f>E162-I162</f>
        <v>#REF!</v>
      </c>
      <c r="K162" s="243" t="e">
        <f>E162/I162*100-100</f>
        <v>#REF!</v>
      </c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s="224" customFormat="1" ht="49.5" customHeight="1">
      <c r="A163" s="233" t="s">
        <v>22</v>
      </c>
      <c r="B163" s="373" t="s">
        <v>12</v>
      </c>
      <c r="C163" s="374">
        <f>C162</f>
        <v>69839036</v>
      </c>
      <c r="D163" s="374">
        <f>D162</f>
        <v>44178667</v>
      </c>
      <c r="E163" s="374">
        <f>E162</f>
        <v>29851167</v>
      </c>
      <c r="F163" s="309">
        <f t="shared" si="61"/>
        <v>42.742810768464793</v>
      </c>
      <c r="G163" s="309">
        <f>IF(D163=0,"",E163/D163*100)</f>
        <v>67.569188993411686</v>
      </c>
      <c r="H163" s="375">
        <f>E163-D163</f>
        <v>-14327500</v>
      </c>
      <c r="I163" s="197" t="e">
        <f>I162</f>
        <v>#REF!</v>
      </c>
      <c r="J163" s="244" t="e">
        <f>E163-I163</f>
        <v>#REF!</v>
      </c>
      <c r="K163" s="245" t="e">
        <f>E163/I163*100-100</f>
        <v>#REF!</v>
      </c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s="220" customFormat="1" ht="11.25" customHeight="1">
      <c r="A164" s="133"/>
      <c r="B164" s="376"/>
      <c r="C164" s="377"/>
      <c r="D164" s="377"/>
      <c r="E164" s="377"/>
      <c r="F164" s="310"/>
      <c r="G164" s="310"/>
      <c r="H164" s="378"/>
      <c r="I164" s="186"/>
      <c r="J164" s="259"/>
      <c r="K164" s="260"/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33.75" customHeight="1">
      <c r="A165" s="614" t="s">
        <v>223</v>
      </c>
      <c r="B165" s="502" t="s">
        <v>224</v>
      </c>
      <c r="C165" s="377">
        <f>C166+C167</f>
        <v>53514450</v>
      </c>
      <c r="D165" s="377">
        <f>D166+D167</f>
        <v>31324896</v>
      </c>
      <c r="E165" s="377">
        <f>E166+E167</f>
        <v>24741435</v>
      </c>
      <c r="F165" s="234">
        <f>IF(C165=0,"",E165/C165*100)</f>
        <v>46.233185616221412</v>
      </c>
      <c r="G165" s="587">
        <f>IF(D165=0,"",E165/D165*100)</f>
        <v>78.983294948529121</v>
      </c>
      <c r="H165" s="379">
        <f t="shared" ref="H165:H175" si="64">E165-D165</f>
        <v>-6583461</v>
      </c>
      <c r="I165" s="186">
        <f>I166+I167</f>
        <v>0</v>
      </c>
      <c r="J165" s="246">
        <f>E165-I165</f>
        <v>24741435</v>
      </c>
      <c r="K165" s="247" t="e">
        <f>E165/I165*100-100</f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236" t="s">
        <v>23</v>
      </c>
      <c r="B166" s="380" t="s">
        <v>225</v>
      </c>
      <c r="C166" s="381">
        <v>43725248</v>
      </c>
      <c r="D166" s="381">
        <v>25574828</v>
      </c>
      <c r="E166" s="381">
        <v>20150360</v>
      </c>
      <c r="F166" s="128">
        <f>IF(C166=0,"",E166/C166*100)</f>
        <v>46.084038219748919</v>
      </c>
      <c r="G166" s="563">
        <f>IF(D166=0,"",E166/D166*100)</f>
        <v>78.789816299057819</v>
      </c>
      <c r="H166" s="642">
        <f t="shared" si="64"/>
        <v>-5424468</v>
      </c>
      <c r="I166" s="201"/>
      <c r="J166" s="248">
        <f t="shared" ref="J166:J177" si="65">E166-I166</f>
        <v>20150360</v>
      </c>
      <c r="K166" s="249" t="e">
        <f t="shared" ref="K166:K177" si="66">E166/I166*100-100</f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236" t="s">
        <v>209</v>
      </c>
      <c r="B167" s="380" t="s">
        <v>226</v>
      </c>
      <c r="C167" s="381">
        <v>9789202</v>
      </c>
      <c r="D167" s="381">
        <v>5750068</v>
      </c>
      <c r="E167" s="381">
        <v>4591075</v>
      </c>
      <c r="F167" s="128">
        <f t="shared" ref="F167:F175" si="67">IF(C167=0,"",E167/C167*100)</f>
        <v>46.899379540845104</v>
      </c>
      <c r="G167" s="563">
        <f t="shared" ref="G167:G175" si="68">IF(D167=0,"",E167/D167*100)</f>
        <v>79.843838368520153</v>
      </c>
      <c r="H167" s="642">
        <f t="shared" si="64"/>
        <v>-1158993</v>
      </c>
      <c r="I167" s="201"/>
      <c r="J167" s="248">
        <f t="shared" si="65"/>
        <v>4591075</v>
      </c>
      <c r="K167" s="249" t="e">
        <f t="shared" si="66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2" t="s">
        <v>210</v>
      </c>
      <c r="B168" s="383" t="s">
        <v>211</v>
      </c>
      <c r="C168" s="377">
        <v>28500</v>
      </c>
      <c r="D168" s="377">
        <v>23500</v>
      </c>
      <c r="E168" s="377">
        <v>2106</v>
      </c>
      <c r="F168" s="234">
        <f t="shared" si="67"/>
        <v>7.3894736842105262</v>
      </c>
      <c r="G168" s="235">
        <f t="shared" si="68"/>
        <v>8.9617021276595743</v>
      </c>
      <c r="H168" s="643">
        <f t="shared" si="64"/>
        <v>-21394</v>
      </c>
      <c r="I168" s="186"/>
      <c r="J168" s="246">
        <f t="shared" si="65"/>
        <v>2106</v>
      </c>
      <c r="K168" s="247" t="e">
        <f t="shared" si="66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2" t="s">
        <v>212</v>
      </c>
      <c r="B169" s="383" t="s">
        <v>213</v>
      </c>
      <c r="C169" s="377">
        <v>527060</v>
      </c>
      <c r="D169" s="377">
        <v>392800</v>
      </c>
      <c r="E169" s="377">
        <v>44129</v>
      </c>
      <c r="F169" s="234">
        <f t="shared" si="67"/>
        <v>8.372671043144992</v>
      </c>
      <c r="G169" s="235">
        <f t="shared" si="68"/>
        <v>11.234470468431772</v>
      </c>
      <c r="H169" s="643">
        <f>E169-D169</f>
        <v>-348671</v>
      </c>
      <c r="I169" s="186"/>
      <c r="J169" s="246">
        <f t="shared" si="65"/>
        <v>44129</v>
      </c>
      <c r="K169" s="247" t="e">
        <f t="shared" si="66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214</v>
      </c>
      <c r="B170" s="383" t="s">
        <v>215</v>
      </c>
      <c r="C170" s="377">
        <f>SUM(C171:C174)</f>
        <v>5133573</v>
      </c>
      <c r="D170" s="377">
        <f>SUM(D171:D174)</f>
        <v>3794840</v>
      </c>
      <c r="E170" s="377">
        <f>SUM(E171:E174)</f>
        <v>1555632</v>
      </c>
      <c r="F170" s="234">
        <f t="shared" si="67"/>
        <v>30.30310467972307</v>
      </c>
      <c r="G170" s="235">
        <f t="shared" si="68"/>
        <v>40.993348863193177</v>
      </c>
      <c r="H170" s="643">
        <f t="shared" si="64"/>
        <v>-2239208</v>
      </c>
      <c r="I170" s="186">
        <f>SUM(I171:I174)</f>
        <v>0</v>
      </c>
      <c r="J170" s="246">
        <f t="shared" si="65"/>
        <v>1555632</v>
      </c>
      <c r="K170" s="247" t="e">
        <f t="shared" si="66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216</v>
      </c>
      <c r="B171" s="380" t="s">
        <v>217</v>
      </c>
      <c r="C171" s="381">
        <v>47148</v>
      </c>
      <c r="D171" s="381">
        <v>30450</v>
      </c>
      <c r="E171" s="381">
        <v>16546</v>
      </c>
      <c r="F171" s="237">
        <f t="shared" si="67"/>
        <v>35.093747348774073</v>
      </c>
      <c r="G171" s="238">
        <f t="shared" si="68"/>
        <v>54.338259441707713</v>
      </c>
      <c r="H171" s="642">
        <f t="shared" si="64"/>
        <v>-13904</v>
      </c>
      <c r="I171" s="200"/>
      <c r="J171" s="248">
        <f t="shared" si="65"/>
        <v>16546</v>
      </c>
      <c r="K171" s="249" t="e">
        <f t="shared" si="66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24.75" customHeight="1">
      <c r="A172" s="453" t="s">
        <v>218</v>
      </c>
      <c r="B172" s="380" t="s">
        <v>219</v>
      </c>
      <c r="C172" s="381">
        <v>1867293</v>
      </c>
      <c r="D172" s="381">
        <v>1397408</v>
      </c>
      <c r="E172" s="381">
        <v>709256</v>
      </c>
      <c r="F172" s="237">
        <f t="shared" si="67"/>
        <v>37.983112452089735</v>
      </c>
      <c r="G172" s="238">
        <f t="shared" si="68"/>
        <v>50.755112322242326</v>
      </c>
      <c r="H172" s="642">
        <f t="shared" si="64"/>
        <v>-688152</v>
      </c>
      <c r="I172" s="200"/>
      <c r="J172" s="248">
        <f t="shared" si="65"/>
        <v>709256</v>
      </c>
      <c r="K172" s="249" t="e">
        <f t="shared" si="66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24.75" customHeight="1">
      <c r="A173" s="453" t="s">
        <v>220</v>
      </c>
      <c r="B173" s="380" t="s">
        <v>221</v>
      </c>
      <c r="C173" s="381">
        <v>2703032</v>
      </c>
      <c r="D173" s="381">
        <v>1900682</v>
      </c>
      <c r="E173" s="381">
        <v>784305</v>
      </c>
      <c r="F173" s="237">
        <f t="shared" si="67"/>
        <v>29.015749721053986</v>
      </c>
      <c r="G173" s="238">
        <f t="shared" si="68"/>
        <v>41.264398778964598</v>
      </c>
      <c r="H173" s="642">
        <f t="shared" si="64"/>
        <v>-1116377</v>
      </c>
      <c r="I173" s="200"/>
      <c r="J173" s="248">
        <f t="shared" si="65"/>
        <v>784305</v>
      </c>
      <c r="K173" s="249" t="e">
        <f t="shared" si="66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20" customFormat="1" ht="31.5" customHeight="1">
      <c r="A174" s="453" t="s">
        <v>222</v>
      </c>
      <c r="B174" s="380" t="s">
        <v>227</v>
      </c>
      <c r="C174" s="381">
        <v>516100</v>
      </c>
      <c r="D174" s="381">
        <v>466300</v>
      </c>
      <c r="E174" s="381">
        <v>45525</v>
      </c>
      <c r="F174" s="237">
        <f t="shared" si="67"/>
        <v>8.820964929277272</v>
      </c>
      <c r="G174" s="238">
        <f t="shared" si="68"/>
        <v>9.7630280935020366</v>
      </c>
      <c r="H174" s="642">
        <f t="shared" si="64"/>
        <v>-420775</v>
      </c>
      <c r="I174" s="200"/>
      <c r="J174" s="248">
        <f t="shared" si="65"/>
        <v>45525</v>
      </c>
      <c r="K174" s="249" t="e">
        <f t="shared" si="66"/>
        <v>#DIV/0!</v>
      </c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s="220" customFormat="1" ht="44.45" customHeight="1">
      <c r="A175" s="452" t="s">
        <v>282</v>
      </c>
      <c r="B175" s="454" t="s">
        <v>283</v>
      </c>
      <c r="C175" s="377">
        <v>24900</v>
      </c>
      <c r="D175" s="377">
        <v>23900</v>
      </c>
      <c r="E175" s="377">
        <v>0</v>
      </c>
      <c r="F175" s="455">
        <f t="shared" si="67"/>
        <v>0</v>
      </c>
      <c r="G175" s="456">
        <f t="shared" si="68"/>
        <v>0</v>
      </c>
      <c r="H175" s="644">
        <f t="shared" si="64"/>
        <v>-23900</v>
      </c>
      <c r="I175" s="200"/>
      <c r="J175" s="248">
        <f t="shared" si="65"/>
        <v>0</v>
      </c>
      <c r="K175" s="249" t="e">
        <f t="shared" si="66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296" customFormat="1" ht="32.25" customHeight="1">
      <c r="A176" s="452" t="s">
        <v>332</v>
      </c>
      <c r="B176" s="383" t="s">
        <v>333</v>
      </c>
      <c r="C176" s="377">
        <v>7279876</v>
      </c>
      <c r="D176" s="377">
        <v>5447082</v>
      </c>
      <c r="E176" s="377">
        <v>2706953</v>
      </c>
      <c r="F176" s="455">
        <f>IF(C176=0,"",E176/C176*100)</f>
        <v>37.184053684430893</v>
      </c>
      <c r="G176" s="456">
        <f>IF(D176=0,"",E176/D176*100)</f>
        <v>49.695469978237888</v>
      </c>
      <c r="H176" s="644">
        <f>E176-D176</f>
        <v>-2740129</v>
      </c>
      <c r="I176" s="186"/>
      <c r="J176" s="246">
        <f t="shared" si="65"/>
        <v>2706953</v>
      </c>
      <c r="K176" s="247" t="e">
        <f t="shared" si="66"/>
        <v>#DIV/0!</v>
      </c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  <c r="X176" s="295"/>
      <c r="Y176" s="295"/>
    </row>
    <row r="177" spans="1:25" s="220" customFormat="1" ht="32.25" customHeight="1">
      <c r="A177" s="452" t="s">
        <v>228</v>
      </c>
      <c r="B177" s="383" t="s">
        <v>229</v>
      </c>
      <c r="C177" s="377">
        <v>190000</v>
      </c>
      <c r="D177" s="377">
        <v>190000</v>
      </c>
      <c r="E177" s="377">
        <v>190000</v>
      </c>
      <c r="F177" s="455">
        <f>IF(C177=0,"",E177/C177*100)</f>
        <v>100</v>
      </c>
      <c r="G177" s="456">
        <f>IF(D177=0,"",E177/D177*100)</f>
        <v>100</v>
      </c>
      <c r="H177" s="644">
        <f>E177-D177</f>
        <v>0</v>
      </c>
      <c r="I177" s="186"/>
      <c r="J177" s="250">
        <f t="shared" si="65"/>
        <v>190000</v>
      </c>
      <c r="K177" s="251" t="e">
        <f t="shared" si="66"/>
        <v>#DIV/0!</v>
      </c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s="136" customFormat="1" ht="19.899999999999999" customHeight="1">
      <c r="A178" s="457" t="s">
        <v>272</v>
      </c>
      <c r="B178" s="383" t="s">
        <v>284</v>
      </c>
      <c r="C178" s="377">
        <v>543430</v>
      </c>
      <c r="D178" s="377">
        <v>543430</v>
      </c>
      <c r="E178" s="377">
        <v>180362</v>
      </c>
      <c r="F178" s="183">
        <f t="shared" ref="F178" si="69">IF(C178=0,"",E178/C178*100)</f>
        <v>33.189555232504645</v>
      </c>
      <c r="G178" s="168">
        <f t="shared" ref="G178" si="70">IF(D178=0,"",E178/D178*100)</f>
        <v>33.189555232504645</v>
      </c>
      <c r="H178" s="378">
        <f t="shared" ref="H178" si="71">E178-D178</f>
        <v>-363068</v>
      </c>
      <c r="I178" s="180"/>
      <c r="J178" s="198"/>
      <c r="K178" s="199"/>
      <c r="L178" s="613"/>
      <c r="M178" s="124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</row>
    <row r="179" spans="1:25" s="136" customFormat="1" ht="22.5" customHeight="1">
      <c r="A179" s="476"/>
      <c r="B179" s="477" t="s">
        <v>231</v>
      </c>
      <c r="C179" s="478"/>
      <c r="D179" s="478"/>
      <c r="E179" s="478"/>
      <c r="F179" s="479"/>
      <c r="G179" s="479"/>
      <c r="H179" s="645"/>
      <c r="I179" s="203"/>
      <c r="J179" s="204"/>
      <c r="K179" s="205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</row>
    <row r="180" spans="1:25" s="12" customFormat="1">
      <c r="A180" s="277"/>
      <c r="B180" s="481" t="s">
        <v>1</v>
      </c>
      <c r="C180" s="482"/>
      <c r="D180" s="482"/>
      <c r="E180" s="482"/>
      <c r="F180" s="483"/>
      <c r="G180" s="483"/>
      <c r="H180" s="646"/>
      <c r="I180" s="75"/>
      <c r="J180" s="89"/>
      <c r="K180" s="76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" customHeight="1">
      <c r="A181" s="271">
        <v>10000000</v>
      </c>
      <c r="B181" s="324" t="s">
        <v>60</v>
      </c>
      <c r="C181" s="356">
        <f t="shared" ref="C181:E182" si="72">C182</f>
        <v>12760</v>
      </c>
      <c r="D181" s="356">
        <f t="shared" si="72"/>
        <v>7216</v>
      </c>
      <c r="E181" s="356">
        <f t="shared" si="72"/>
        <v>5416</v>
      </c>
      <c r="F181" s="126">
        <f t="shared" ref="F181:F186" si="73">IF(C181=0,"",E181/C181*100)</f>
        <v>42.445141065830718</v>
      </c>
      <c r="G181" s="533">
        <f t="shared" ref="G181:G187" si="74">IF(D181=0,"",E181/D181*100)</f>
        <v>75.05543237250555</v>
      </c>
      <c r="H181" s="647">
        <f t="shared" ref="H181:H233" si="75">E181-D181</f>
        <v>-1800</v>
      </c>
      <c r="I181" s="123">
        <f>I182</f>
        <v>71.819999999999993</v>
      </c>
      <c r="J181" s="92">
        <f t="shared" ref="J181:J193" si="76">E181-I181</f>
        <v>5344.18</v>
      </c>
      <c r="K181" s="122">
        <f t="shared" ref="K181:K193" si="77">E181/I181*100-100</f>
        <v>7441.0749094959629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29.25" customHeight="1">
      <c r="A182" s="271">
        <v>19000000</v>
      </c>
      <c r="B182" s="385" t="s">
        <v>91</v>
      </c>
      <c r="C182" s="369">
        <f t="shared" si="72"/>
        <v>12760</v>
      </c>
      <c r="D182" s="369">
        <f t="shared" si="72"/>
        <v>7216</v>
      </c>
      <c r="E182" s="369">
        <f t="shared" si="72"/>
        <v>5416</v>
      </c>
      <c r="F182" s="126">
        <f t="shared" si="73"/>
        <v>42.445141065830718</v>
      </c>
      <c r="G182" s="533">
        <f t="shared" si="74"/>
        <v>75.05543237250555</v>
      </c>
      <c r="H182" s="475">
        <f t="shared" si="75"/>
        <v>-1800</v>
      </c>
      <c r="I182" s="102">
        <f>I183</f>
        <v>71.819999999999993</v>
      </c>
      <c r="J182" s="87">
        <f t="shared" si="76"/>
        <v>5344.18</v>
      </c>
      <c r="K182" s="71">
        <f t="shared" si="77"/>
        <v>7441.0749094959629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27.75" customHeight="1">
      <c r="A183" s="271">
        <v>19010000</v>
      </c>
      <c r="B183" s="385" t="s">
        <v>26</v>
      </c>
      <c r="C183" s="386">
        <f>SUM(C184:C186)</f>
        <v>12760</v>
      </c>
      <c r="D183" s="386">
        <f>SUM(D184:D186)</f>
        <v>7216</v>
      </c>
      <c r="E183" s="386">
        <f>SUM(E184:E186)</f>
        <v>5416</v>
      </c>
      <c r="F183" s="126">
        <f t="shared" si="73"/>
        <v>42.445141065830718</v>
      </c>
      <c r="G183" s="533">
        <f t="shared" si="74"/>
        <v>75.05543237250555</v>
      </c>
      <c r="H183" s="475">
        <f t="shared" si="75"/>
        <v>-1800</v>
      </c>
      <c r="I183" s="103">
        <f>SUM(I184:I186)</f>
        <v>71.819999999999993</v>
      </c>
      <c r="J183" s="87">
        <f t="shared" si="76"/>
        <v>5344.18</v>
      </c>
      <c r="K183" s="71">
        <f t="shared" si="77"/>
        <v>7441.0749094959629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49.5" customHeight="1">
      <c r="A184" s="272">
        <v>19010100</v>
      </c>
      <c r="B184" s="387" t="s">
        <v>92</v>
      </c>
      <c r="C184" s="388">
        <v>7900</v>
      </c>
      <c r="D184" s="388">
        <v>4369</v>
      </c>
      <c r="E184" s="388">
        <v>3435</v>
      </c>
      <c r="F184" s="119">
        <f t="shared" si="73"/>
        <v>43.481012658227847</v>
      </c>
      <c r="G184" s="534">
        <f t="shared" si="74"/>
        <v>78.622110322728318</v>
      </c>
      <c r="H184" s="648">
        <f t="shared" si="75"/>
        <v>-934</v>
      </c>
      <c r="I184" s="53">
        <v>8.2669999999999995</v>
      </c>
      <c r="J184" s="96">
        <f t="shared" si="76"/>
        <v>3426.7330000000002</v>
      </c>
      <c r="K184" s="47">
        <f t="shared" si="77"/>
        <v>41450.743921616064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43.5" customHeight="1">
      <c r="A185" s="272">
        <v>19010200</v>
      </c>
      <c r="B185" s="387" t="s">
        <v>93</v>
      </c>
      <c r="C185" s="389">
        <v>60</v>
      </c>
      <c r="D185" s="389">
        <v>28</v>
      </c>
      <c r="E185" s="389">
        <v>122</v>
      </c>
      <c r="F185" s="119">
        <f>IF(C185=0,"",E185/C185*100)</f>
        <v>203.33333333333331</v>
      </c>
      <c r="G185" s="534">
        <f t="shared" si="74"/>
        <v>435.71428571428567</v>
      </c>
      <c r="H185" s="648">
        <f t="shared" si="75"/>
        <v>94</v>
      </c>
      <c r="I185" s="55">
        <v>14.992000000000001</v>
      </c>
      <c r="J185" s="96">
        <f t="shared" si="76"/>
        <v>107.008</v>
      </c>
      <c r="K185" s="47">
        <f t="shared" si="77"/>
        <v>713.76734258271085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63.75" customHeight="1">
      <c r="A186" s="272">
        <v>19010300</v>
      </c>
      <c r="B186" s="387" t="s">
        <v>94</v>
      </c>
      <c r="C186" s="460">
        <v>4800</v>
      </c>
      <c r="D186" s="390">
        <v>2819</v>
      </c>
      <c r="E186" s="390">
        <v>1859</v>
      </c>
      <c r="F186" s="540">
        <f t="shared" si="73"/>
        <v>38.729166666666664</v>
      </c>
      <c r="G186" s="534">
        <f t="shared" si="74"/>
        <v>65.945370698829379</v>
      </c>
      <c r="H186" s="649">
        <f t="shared" si="75"/>
        <v>-960</v>
      </c>
      <c r="I186" s="54">
        <v>48.561</v>
      </c>
      <c r="J186" s="86">
        <f t="shared" si="76"/>
        <v>1810.4390000000001</v>
      </c>
      <c r="K186" s="47">
        <f t="shared" si="77"/>
        <v>3728.174872840345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24.6" customHeight="1">
      <c r="A187" s="535">
        <v>20000000</v>
      </c>
      <c r="B187" s="353" t="s">
        <v>95</v>
      </c>
      <c r="C187" s="463">
        <f>C191+C199</f>
        <v>1301580</v>
      </c>
      <c r="D187" s="463">
        <f>D191+D199</f>
        <v>1298830</v>
      </c>
      <c r="E187" s="463">
        <f>E191+E199+E188</f>
        <v>478133.03399999999</v>
      </c>
      <c r="F187" s="549">
        <f>IF(C187=0,"",E187/C187*100)</f>
        <v>36.734817222145395</v>
      </c>
      <c r="G187" s="546">
        <f t="shared" si="74"/>
        <v>36.812595489786958</v>
      </c>
      <c r="H187" s="550">
        <f t="shared" si="75"/>
        <v>-820696.96600000001</v>
      </c>
      <c r="I187" s="104">
        <f>I191+I199</f>
        <v>5935.5839999999989</v>
      </c>
      <c r="J187" s="86">
        <f t="shared" si="76"/>
        <v>472197.45</v>
      </c>
      <c r="K187" s="47">
        <f t="shared" si="77"/>
        <v>7955.3663127335085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1.9" hidden="1" customHeight="1">
      <c r="A188" s="535">
        <v>21000000</v>
      </c>
      <c r="B188" s="353" t="s">
        <v>295</v>
      </c>
      <c r="C188" s="463">
        <v>0</v>
      </c>
      <c r="D188" s="463">
        <v>0</v>
      </c>
      <c r="E188" s="536"/>
      <c r="F188" s="541">
        <v>0</v>
      </c>
      <c r="G188" s="537">
        <v>0</v>
      </c>
      <c r="H188" s="550">
        <f t="shared" si="75"/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46.9" hidden="1" customHeight="1">
      <c r="A189" s="535">
        <v>21110000</v>
      </c>
      <c r="B189" s="353" t="s">
        <v>296</v>
      </c>
      <c r="C189" s="463">
        <v>0</v>
      </c>
      <c r="D189" s="463">
        <v>0</v>
      </c>
      <c r="E189" s="536"/>
      <c r="F189" s="541">
        <v>0</v>
      </c>
      <c r="G189" s="537">
        <v>0</v>
      </c>
      <c r="H189" s="550">
        <f t="shared" si="75"/>
        <v>0</v>
      </c>
      <c r="I189" s="104"/>
      <c r="J189" s="86"/>
      <c r="K189" s="47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46.9" hidden="1" customHeight="1">
      <c r="A190" s="275">
        <v>21110000</v>
      </c>
      <c r="B190" s="531" t="s">
        <v>296</v>
      </c>
      <c r="C190" s="494">
        <v>0</v>
      </c>
      <c r="D190" s="494">
        <v>0</v>
      </c>
      <c r="E190" s="538"/>
      <c r="F190" s="542">
        <v>0</v>
      </c>
      <c r="G190" s="539">
        <v>0</v>
      </c>
      <c r="H190" s="545">
        <f t="shared" si="75"/>
        <v>0</v>
      </c>
      <c r="I190" s="104"/>
      <c r="J190" s="86"/>
      <c r="K190" s="47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8.5" customHeight="1">
      <c r="A191" s="271">
        <v>24000000</v>
      </c>
      <c r="B191" s="324" t="s">
        <v>113</v>
      </c>
      <c r="C191" s="391">
        <f>C192+C195+C197</f>
        <v>5900</v>
      </c>
      <c r="D191" s="391">
        <f>D192</f>
        <v>3150</v>
      </c>
      <c r="E191" s="391">
        <f>E192+E195+E197</f>
        <v>2683.0340000000001</v>
      </c>
      <c r="F191" s="541">
        <f t="shared" ref="F191:G198" si="78">IF(C191=0,"",E191/C191*100)</f>
        <v>45.475152542372882</v>
      </c>
      <c r="G191" s="537">
        <f t="shared" si="78"/>
        <v>1.4436556362658057</v>
      </c>
      <c r="H191" s="550">
        <f t="shared" si="75"/>
        <v>-466.96599999999989</v>
      </c>
      <c r="I191" s="104">
        <f>I192+I195+I197</f>
        <v>17.687000000000001</v>
      </c>
      <c r="J191" s="86">
        <f t="shared" si="76"/>
        <v>2665.3470000000002</v>
      </c>
      <c r="K191" s="47">
        <f t="shared" si="77"/>
        <v>15069.525640300784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25.5" customHeight="1">
      <c r="A192" s="271">
        <v>24060000</v>
      </c>
      <c r="B192" s="324" t="s">
        <v>99</v>
      </c>
      <c r="C192" s="391">
        <f>C193+C194</f>
        <v>5900</v>
      </c>
      <c r="D192" s="391">
        <f>D193+D194</f>
        <v>3150</v>
      </c>
      <c r="E192" s="391">
        <f>E193+E194</f>
        <v>2683</v>
      </c>
      <c r="F192" s="541">
        <f t="shared" si="78"/>
        <v>45.474576271186443</v>
      </c>
      <c r="G192" s="537">
        <f t="shared" si="78"/>
        <v>1.4436373419424267</v>
      </c>
      <c r="H192" s="550">
        <f t="shared" si="75"/>
        <v>-467</v>
      </c>
      <c r="I192" s="104">
        <f>I193</f>
        <v>12.029</v>
      </c>
      <c r="J192" s="86">
        <f t="shared" si="76"/>
        <v>2670.971</v>
      </c>
      <c r="K192" s="47">
        <f t="shared" si="77"/>
        <v>22204.430958516918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60.75" customHeight="1">
      <c r="A193" s="272">
        <v>24062100</v>
      </c>
      <c r="B193" s="329" t="s">
        <v>114</v>
      </c>
      <c r="C193" s="459">
        <v>5900</v>
      </c>
      <c r="D193" s="459">
        <v>3150</v>
      </c>
      <c r="E193" s="394">
        <v>2683</v>
      </c>
      <c r="F193" s="571">
        <f t="shared" si="78"/>
        <v>45.474576271186443</v>
      </c>
      <c r="G193" s="534">
        <f t="shared" ref="G193" si="79">IF(D193=0,"",E193/D193*100)</f>
        <v>85.174603174603163</v>
      </c>
      <c r="H193" s="649">
        <f t="shared" si="75"/>
        <v>-467</v>
      </c>
      <c r="I193" s="56">
        <v>12.029</v>
      </c>
      <c r="J193" s="88">
        <f t="shared" si="76"/>
        <v>2670.971</v>
      </c>
      <c r="K193" s="27">
        <f t="shared" si="77"/>
        <v>22204.430958516918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24062200</v>
      </c>
      <c r="B194" s="329" t="s">
        <v>273</v>
      </c>
      <c r="C194" s="459">
        <v>0</v>
      </c>
      <c r="D194" s="459">
        <v>0</v>
      </c>
      <c r="E194" s="459">
        <v>0</v>
      </c>
      <c r="F194" s="119">
        <v>0</v>
      </c>
      <c r="G194" s="119">
        <v>0</v>
      </c>
      <c r="H194" s="545">
        <f t="shared" si="75"/>
        <v>0</v>
      </c>
      <c r="I194" s="56"/>
      <c r="J194" s="88"/>
      <c r="K194" s="27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4.5" hidden="1" customHeight="1">
      <c r="A195" s="271">
        <v>241100000</v>
      </c>
      <c r="B195" s="396" t="s">
        <v>138</v>
      </c>
      <c r="C195" s="393">
        <f>C196</f>
        <v>0</v>
      </c>
      <c r="D195" s="393">
        <f>D196</f>
        <v>0</v>
      </c>
      <c r="E195" s="393">
        <f>E196</f>
        <v>3.4000000000000002E-2</v>
      </c>
      <c r="F195" s="119" t="str">
        <f t="shared" si="78"/>
        <v/>
      </c>
      <c r="G195" s="120" t="str">
        <f t="shared" ref="G195:G207" si="80">IF(D195=0,"",E195/D195*100)</f>
        <v/>
      </c>
      <c r="H195" s="545">
        <f t="shared" si="75"/>
        <v>3.4000000000000002E-2</v>
      </c>
      <c r="I195" s="101">
        <f>I196</f>
        <v>0</v>
      </c>
      <c r="J195" s="88">
        <f t="shared" ref="J195:J205" si="81">E195-I195</f>
        <v>3.4000000000000002E-2</v>
      </c>
      <c r="K195" s="27" t="e">
        <f t="shared" ref="K195:K205" si="82">E195/I195*100-100</f>
        <v>#DIV/0!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3" hidden="1" customHeight="1">
      <c r="A196" s="272">
        <v>24110900</v>
      </c>
      <c r="B196" s="329" t="s">
        <v>139</v>
      </c>
      <c r="C196" s="394"/>
      <c r="D196" s="394"/>
      <c r="E196" s="394">
        <v>3.4000000000000002E-2</v>
      </c>
      <c r="F196" s="119" t="str">
        <f t="shared" si="78"/>
        <v/>
      </c>
      <c r="G196" s="120" t="str">
        <f t="shared" si="80"/>
        <v/>
      </c>
      <c r="H196" s="545">
        <f t="shared" si="75"/>
        <v>3.4000000000000002E-2</v>
      </c>
      <c r="I196" s="56"/>
      <c r="J196" s="88">
        <f t="shared" si="81"/>
        <v>3.4000000000000002E-2</v>
      </c>
      <c r="K196" s="27" t="e">
        <f t="shared" si="82"/>
        <v>#DIV/0!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3.75" hidden="1" customHeight="1">
      <c r="A197" s="271">
        <v>24170000</v>
      </c>
      <c r="B197" s="397" t="s">
        <v>19</v>
      </c>
      <c r="C197" s="391">
        <f>C198</f>
        <v>0</v>
      </c>
      <c r="D197" s="391">
        <f>D198</f>
        <v>0</v>
      </c>
      <c r="E197" s="391">
        <f>E198</f>
        <v>0</v>
      </c>
      <c r="F197" s="119" t="str">
        <f t="shared" si="78"/>
        <v/>
      </c>
      <c r="G197" s="120" t="str">
        <f t="shared" si="80"/>
        <v/>
      </c>
      <c r="H197" s="545">
        <f t="shared" si="75"/>
        <v>0</v>
      </c>
      <c r="I197" s="104">
        <f>I198</f>
        <v>5.6580000000000004</v>
      </c>
      <c r="J197" s="88">
        <f t="shared" si="81"/>
        <v>-5.6580000000000004</v>
      </c>
      <c r="K197" s="27">
        <f t="shared" si="82"/>
        <v>-100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23.25" hidden="1" customHeight="1">
      <c r="A198" s="272">
        <v>24170000</v>
      </c>
      <c r="B198" s="398" t="s">
        <v>19</v>
      </c>
      <c r="C198" s="391"/>
      <c r="D198" s="391"/>
      <c r="E198" s="391"/>
      <c r="F198" s="119" t="str">
        <f t="shared" si="78"/>
        <v/>
      </c>
      <c r="G198" s="120" t="str">
        <f t="shared" si="80"/>
        <v/>
      </c>
      <c r="H198" s="545">
        <f t="shared" si="75"/>
        <v>0</v>
      </c>
      <c r="I198" s="56">
        <v>5.6580000000000004</v>
      </c>
      <c r="J198" s="88">
        <f t="shared" si="81"/>
        <v>-5.6580000000000004</v>
      </c>
      <c r="K198" s="27">
        <f t="shared" si="82"/>
        <v>-100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28.5" customHeight="1">
      <c r="A199" s="271">
        <v>25000000</v>
      </c>
      <c r="B199" s="385" t="s">
        <v>116</v>
      </c>
      <c r="C199" s="463">
        <f>C200+C205</f>
        <v>1295680</v>
      </c>
      <c r="D199" s="463">
        <f>D200+D205</f>
        <v>1295680</v>
      </c>
      <c r="E199" s="463">
        <f>E200+E205</f>
        <v>475450</v>
      </c>
      <c r="F199" s="537">
        <f>IF(C199=0,"",E199/C199*100)</f>
        <v>36.695017288219312</v>
      </c>
      <c r="G199" s="547">
        <f t="shared" si="80"/>
        <v>36.695017288219312</v>
      </c>
      <c r="H199" s="650">
        <f t="shared" si="75"/>
        <v>-820230</v>
      </c>
      <c r="I199" s="104">
        <f>I200+I205</f>
        <v>5917.896999999999</v>
      </c>
      <c r="J199" s="88">
        <f t="shared" si="81"/>
        <v>469532.103</v>
      </c>
      <c r="K199" s="27">
        <f t="shared" si="82"/>
        <v>7934.1040068794728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48.75" customHeight="1">
      <c r="A200" s="271">
        <v>25010000</v>
      </c>
      <c r="B200" s="385" t="s">
        <v>117</v>
      </c>
      <c r="C200" s="463">
        <f>SUM(C201:C204)</f>
        <v>1295680</v>
      </c>
      <c r="D200" s="463">
        <f>SUM(D201:D204)</f>
        <v>1295680</v>
      </c>
      <c r="E200" s="463">
        <f>SUM(E201:E204)</f>
        <v>207694</v>
      </c>
      <c r="F200" s="537">
        <f>IF(C200=0,"",E200/C200*100)</f>
        <v>16.029729562855024</v>
      </c>
      <c r="G200" s="547">
        <f t="shared" si="80"/>
        <v>16.029729562855024</v>
      </c>
      <c r="H200" s="650">
        <f t="shared" si="75"/>
        <v>-1087986</v>
      </c>
      <c r="I200" s="104">
        <f>SUM(I201:I204)</f>
        <v>1777.239</v>
      </c>
      <c r="J200" s="88">
        <f t="shared" si="81"/>
        <v>205916.761</v>
      </c>
      <c r="K200" s="27">
        <f t="shared" si="82"/>
        <v>11586.329188139582</v>
      </c>
      <c r="L200" s="193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43.5" customHeight="1">
      <c r="A201" s="275">
        <v>25010100</v>
      </c>
      <c r="B201" s="543" t="s">
        <v>118</v>
      </c>
      <c r="C201" s="494">
        <v>1213910</v>
      </c>
      <c r="D201" s="494">
        <v>1213910</v>
      </c>
      <c r="E201" s="494">
        <v>206394</v>
      </c>
      <c r="F201" s="544">
        <f>IF(C201=0,"",E201/C201*100)</f>
        <v>17.002413687999933</v>
      </c>
      <c r="G201" s="546">
        <f t="shared" si="80"/>
        <v>17.002413687999933</v>
      </c>
      <c r="H201" s="545">
        <f t="shared" si="75"/>
        <v>-1007516</v>
      </c>
      <c r="I201" s="56">
        <v>1142.6300000000001</v>
      </c>
      <c r="J201" s="88">
        <f t="shared" si="81"/>
        <v>205251.37</v>
      </c>
      <c r="K201" s="27">
        <f t="shared" si="82"/>
        <v>17963.065034175539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30.75" hidden="1" customHeight="1">
      <c r="A202" s="272">
        <v>25010200</v>
      </c>
      <c r="B202" s="398" t="s">
        <v>277</v>
      </c>
      <c r="C202" s="463"/>
      <c r="D202" s="463"/>
      <c r="E202" s="494">
        <v>0</v>
      </c>
      <c r="F202" s="119" t="str">
        <f t="shared" ref="F202:F207" si="83">IF(C202=0,"",E202/C202*100)</f>
        <v/>
      </c>
      <c r="G202" s="534" t="str">
        <f t="shared" si="80"/>
        <v/>
      </c>
      <c r="H202" s="545">
        <f t="shared" si="75"/>
        <v>0</v>
      </c>
      <c r="I202" s="56">
        <v>441.048</v>
      </c>
      <c r="J202" s="88">
        <f t="shared" si="81"/>
        <v>-441.048</v>
      </c>
      <c r="K202" s="27">
        <f t="shared" si="82"/>
        <v>-100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29.25" customHeight="1">
      <c r="A203" s="272">
        <v>25010300</v>
      </c>
      <c r="B203" s="398" t="s">
        <v>120</v>
      </c>
      <c r="C203" s="494">
        <v>79770</v>
      </c>
      <c r="D203" s="494">
        <v>79770</v>
      </c>
      <c r="E203" s="494">
        <v>0</v>
      </c>
      <c r="F203" s="119">
        <f t="shared" si="83"/>
        <v>0</v>
      </c>
      <c r="G203" s="534">
        <f t="shared" si="80"/>
        <v>0</v>
      </c>
      <c r="H203" s="545">
        <f t="shared" si="75"/>
        <v>-79770</v>
      </c>
      <c r="I203" s="56">
        <v>179.351</v>
      </c>
      <c r="J203" s="88">
        <f t="shared" si="81"/>
        <v>-179.351</v>
      </c>
      <c r="K203" s="27">
        <f t="shared" si="82"/>
        <v>-100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52.5" customHeight="1">
      <c r="A204" s="272">
        <v>25010400</v>
      </c>
      <c r="B204" s="398" t="s">
        <v>119</v>
      </c>
      <c r="C204" s="494">
        <v>2000</v>
      </c>
      <c r="D204" s="494">
        <v>2000</v>
      </c>
      <c r="E204" s="494">
        <v>1300</v>
      </c>
      <c r="F204" s="119">
        <f t="shared" si="83"/>
        <v>65</v>
      </c>
      <c r="G204" s="534">
        <f t="shared" si="80"/>
        <v>65</v>
      </c>
      <c r="H204" s="545">
        <f t="shared" si="75"/>
        <v>-700</v>
      </c>
      <c r="I204" s="56">
        <v>14.21</v>
      </c>
      <c r="J204" s="88">
        <f t="shared" si="81"/>
        <v>1285.79</v>
      </c>
      <c r="K204" s="27">
        <f t="shared" si="82"/>
        <v>9048.4869809992961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33" customHeight="1">
      <c r="A205" s="271">
        <v>25020000</v>
      </c>
      <c r="B205" s="385" t="s">
        <v>121</v>
      </c>
      <c r="C205" s="463">
        <f>C206+C207</f>
        <v>0</v>
      </c>
      <c r="D205" s="463">
        <f>D206+D207</f>
        <v>0</v>
      </c>
      <c r="E205" s="463">
        <f>E206+E207</f>
        <v>267756</v>
      </c>
      <c r="F205" s="537">
        <v>0</v>
      </c>
      <c r="G205" s="547">
        <v>0</v>
      </c>
      <c r="H205" s="650">
        <f t="shared" si="75"/>
        <v>267756</v>
      </c>
      <c r="I205" s="104">
        <f>I206+I207</f>
        <v>4140.6579999999994</v>
      </c>
      <c r="J205" s="88">
        <f t="shared" si="81"/>
        <v>263615.342</v>
      </c>
      <c r="K205" s="27">
        <f t="shared" si="82"/>
        <v>6366.5084631476457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24.75" customHeight="1">
      <c r="A206" s="272">
        <v>25020100</v>
      </c>
      <c r="B206" s="398" t="s">
        <v>122</v>
      </c>
      <c r="C206" s="494">
        <v>0</v>
      </c>
      <c r="D206" s="494">
        <v>0</v>
      </c>
      <c r="E206" s="494">
        <v>267756</v>
      </c>
      <c r="F206" s="119">
        <v>0</v>
      </c>
      <c r="G206" s="534">
        <v>0</v>
      </c>
      <c r="H206" s="545">
        <f t="shared" si="75"/>
        <v>267756</v>
      </c>
      <c r="I206" s="56">
        <v>794.45799999999997</v>
      </c>
      <c r="J206" s="88"/>
      <c r="K206" s="27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customHeight="1">
      <c r="A207" s="272">
        <v>25020200</v>
      </c>
      <c r="B207" s="329" t="s">
        <v>123</v>
      </c>
      <c r="C207" s="391"/>
      <c r="D207" s="391"/>
      <c r="E207" s="394"/>
      <c r="F207" s="119" t="str">
        <f t="shared" si="83"/>
        <v/>
      </c>
      <c r="G207" s="120" t="str">
        <f t="shared" si="80"/>
        <v/>
      </c>
      <c r="H207" s="545">
        <f t="shared" si="75"/>
        <v>0</v>
      </c>
      <c r="I207" s="130">
        <v>3346.2</v>
      </c>
      <c r="J207" s="88">
        <f>E207-I207</f>
        <v>-3346.2</v>
      </c>
      <c r="K207" s="27">
        <f>E207/I207*100-100</f>
        <v>-100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8.75" customHeight="1">
      <c r="A208" s="271">
        <v>30000000</v>
      </c>
      <c r="B208" s="385" t="s">
        <v>124</v>
      </c>
      <c r="C208" s="391">
        <f>C211+C212</f>
        <v>62081</v>
      </c>
      <c r="D208" s="391">
        <f>D211+D212</f>
        <v>32081</v>
      </c>
      <c r="E208" s="391">
        <f>E210+E212</f>
        <v>0</v>
      </c>
      <c r="F208" s="537">
        <v>0</v>
      </c>
      <c r="G208" s="547">
        <v>0</v>
      </c>
      <c r="H208" s="550">
        <f t="shared" si="75"/>
        <v>-32081</v>
      </c>
      <c r="I208" s="104">
        <f>I212</f>
        <v>6810.6459999999997</v>
      </c>
      <c r="J208" s="87">
        <f>E208-I208</f>
        <v>-6810.6459999999997</v>
      </c>
      <c r="K208" s="71">
        <f>E208/I208*100-100</f>
        <v>-100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0.75" hidden="1" customHeight="1">
      <c r="A209" s="271">
        <v>31000000</v>
      </c>
      <c r="B209" s="385" t="s">
        <v>246</v>
      </c>
      <c r="C209" s="391">
        <f t="shared" ref="C209:E210" si="84">C210</f>
        <v>0</v>
      </c>
      <c r="D209" s="391">
        <f t="shared" si="84"/>
        <v>0</v>
      </c>
      <c r="E209" s="391">
        <f t="shared" si="84"/>
        <v>0</v>
      </c>
      <c r="F209" s="537">
        <v>0</v>
      </c>
      <c r="G209" s="547">
        <v>0</v>
      </c>
      <c r="H209" s="550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19.5" hidden="1" customHeight="1">
      <c r="A210" s="271">
        <v>31030000</v>
      </c>
      <c r="B210" s="385" t="s">
        <v>247</v>
      </c>
      <c r="C210" s="391">
        <f t="shared" si="84"/>
        <v>0</v>
      </c>
      <c r="D210" s="391">
        <f t="shared" si="84"/>
        <v>0</v>
      </c>
      <c r="E210" s="391">
        <f t="shared" si="84"/>
        <v>0</v>
      </c>
      <c r="F210" s="537">
        <v>0</v>
      </c>
      <c r="G210" s="547">
        <v>0</v>
      </c>
      <c r="H210" s="550"/>
      <c r="I210" s="104"/>
      <c r="J210" s="87"/>
      <c r="K210" s="7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17.25" hidden="1" customHeight="1">
      <c r="A211" s="272">
        <v>31030000</v>
      </c>
      <c r="B211" s="387" t="s">
        <v>247</v>
      </c>
      <c r="C211" s="399">
        <v>0</v>
      </c>
      <c r="D211" s="399">
        <v>0</v>
      </c>
      <c r="E211" s="399">
        <v>0</v>
      </c>
      <c r="F211" s="537">
        <v>0</v>
      </c>
      <c r="G211" s="547">
        <v>0</v>
      </c>
      <c r="H211" s="550"/>
      <c r="I211" s="104"/>
      <c r="J211" s="87"/>
      <c r="K211" s="7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0.25" customHeight="1">
      <c r="A212" s="271">
        <v>33000000</v>
      </c>
      <c r="B212" s="385" t="s">
        <v>125</v>
      </c>
      <c r="C212" s="391">
        <f t="shared" ref="C212:E213" si="85">C213</f>
        <v>62081</v>
      </c>
      <c r="D212" s="391">
        <f t="shared" si="85"/>
        <v>32081</v>
      </c>
      <c r="E212" s="391">
        <f t="shared" si="85"/>
        <v>0</v>
      </c>
      <c r="F212" s="537">
        <v>0</v>
      </c>
      <c r="G212" s="547">
        <v>0</v>
      </c>
      <c r="H212" s="550">
        <f t="shared" si="75"/>
        <v>-32081</v>
      </c>
      <c r="I212" s="104">
        <f>I213</f>
        <v>6810.6459999999997</v>
      </c>
      <c r="J212" s="87">
        <f>E212-I212</f>
        <v>-6810.6459999999997</v>
      </c>
      <c r="K212" s="71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1.75" customHeight="1">
      <c r="A213" s="271">
        <v>33010000</v>
      </c>
      <c r="B213" s="385" t="s">
        <v>126</v>
      </c>
      <c r="C213" s="391">
        <f t="shared" si="85"/>
        <v>62081</v>
      </c>
      <c r="D213" s="391">
        <f t="shared" si="85"/>
        <v>32081</v>
      </c>
      <c r="E213" s="391">
        <f t="shared" si="85"/>
        <v>0</v>
      </c>
      <c r="F213" s="537">
        <v>0</v>
      </c>
      <c r="G213" s="547">
        <v>0</v>
      </c>
      <c r="H213" s="550">
        <f t="shared" si="75"/>
        <v>-32081</v>
      </c>
      <c r="I213" s="104">
        <f>I214</f>
        <v>6810.6459999999997</v>
      </c>
      <c r="J213" s="87">
        <f>E213-I213</f>
        <v>-6810.6459999999997</v>
      </c>
      <c r="K213" s="71">
        <f>E213/I213*100-100</f>
        <v>-100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1" customHeight="1">
      <c r="A214" s="273">
        <v>33010100</v>
      </c>
      <c r="B214" s="398" t="s">
        <v>127</v>
      </c>
      <c r="C214" s="406">
        <v>62081</v>
      </c>
      <c r="D214" s="406">
        <v>32081</v>
      </c>
      <c r="E214" s="406">
        <v>0</v>
      </c>
      <c r="F214" s="119">
        <v>0</v>
      </c>
      <c r="G214" s="534">
        <v>0</v>
      </c>
      <c r="H214" s="651">
        <f t="shared" si="75"/>
        <v>-32081</v>
      </c>
      <c r="I214" s="130">
        <v>6810.6459999999997</v>
      </c>
      <c r="J214" s="121">
        <f>E214-I214</f>
        <v>-6810.6459999999997</v>
      </c>
      <c r="K214" s="118">
        <f>E214/I214*100-100</f>
        <v>-100</v>
      </c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22.15" hidden="1" customHeight="1">
      <c r="A215" s="271">
        <v>40000000</v>
      </c>
      <c r="B215" s="324" t="s">
        <v>297</v>
      </c>
      <c r="C215" s="412"/>
      <c r="D215" s="412"/>
      <c r="E215" s="412">
        <v>0</v>
      </c>
      <c r="F215" s="551">
        <v>0</v>
      </c>
      <c r="G215" s="552">
        <v>0</v>
      </c>
      <c r="H215" s="652">
        <f t="shared" si="75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22.15" hidden="1" customHeight="1">
      <c r="A216" s="271">
        <v>41000000</v>
      </c>
      <c r="B216" s="324" t="s">
        <v>298</v>
      </c>
      <c r="C216" s="412"/>
      <c r="D216" s="412"/>
      <c r="E216" s="412">
        <v>0</v>
      </c>
      <c r="F216" s="551">
        <v>0</v>
      </c>
      <c r="G216" s="552">
        <v>0</v>
      </c>
      <c r="H216" s="561">
        <f t="shared" si="75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33" hidden="1" customHeight="1">
      <c r="A217" s="292">
        <v>41050000</v>
      </c>
      <c r="B217" s="324" t="s">
        <v>249</v>
      </c>
      <c r="C217" s="461">
        <f>C219+C221+C218</f>
        <v>0</v>
      </c>
      <c r="D217" s="461">
        <f>D219+D221</f>
        <v>0</v>
      </c>
      <c r="E217" s="461">
        <f>E219+E221</f>
        <v>0</v>
      </c>
      <c r="F217" s="551">
        <v>0</v>
      </c>
      <c r="G217" s="552">
        <v>0</v>
      </c>
      <c r="H217" s="561">
        <f t="shared" si="75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60.75" hidden="1" customHeight="1">
      <c r="A218" s="273">
        <v>41051200</v>
      </c>
      <c r="B218" s="329" t="s">
        <v>288</v>
      </c>
      <c r="C218" s="503">
        <v>0</v>
      </c>
      <c r="D218" s="503">
        <v>0</v>
      </c>
      <c r="E218" s="503">
        <v>0</v>
      </c>
      <c r="F218" s="119">
        <v>0</v>
      </c>
      <c r="G218" s="534">
        <v>0</v>
      </c>
      <c r="H218" s="561">
        <f t="shared" si="75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8" hidden="1" customHeight="1">
      <c r="A219" s="273">
        <v>41052600</v>
      </c>
      <c r="B219" s="329" t="s">
        <v>248</v>
      </c>
      <c r="C219" s="406"/>
      <c r="D219" s="406"/>
      <c r="E219" s="406"/>
      <c r="F219" s="128"/>
      <c r="G219" s="129"/>
      <c r="H219" s="561">
        <f t="shared" si="75"/>
        <v>0</v>
      </c>
      <c r="I219" s="130"/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2.15" hidden="1" customHeight="1">
      <c r="A220" s="273">
        <v>41053500</v>
      </c>
      <c r="B220" s="329" t="s">
        <v>242</v>
      </c>
      <c r="C220" s="406"/>
      <c r="D220" s="406"/>
      <c r="E220" s="406">
        <v>0</v>
      </c>
      <c r="F220" s="128"/>
      <c r="G220" s="129"/>
      <c r="H220" s="561">
        <f t="shared" si="75"/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19.149999999999999" hidden="1" customHeight="1">
      <c r="A221" s="273">
        <v>41053900</v>
      </c>
      <c r="B221" s="329" t="s">
        <v>47</v>
      </c>
      <c r="C221" s="406"/>
      <c r="D221" s="406"/>
      <c r="E221" s="406">
        <v>0</v>
      </c>
      <c r="F221" s="303">
        <v>0</v>
      </c>
      <c r="G221" s="129">
        <v>0</v>
      </c>
      <c r="H221" s="653">
        <f t="shared" si="75"/>
        <v>0</v>
      </c>
      <c r="I221" s="130">
        <v>1054.6310000000001</v>
      </c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27.75" customHeight="1">
      <c r="A222" s="292">
        <v>50000000</v>
      </c>
      <c r="B222" s="324" t="s">
        <v>289</v>
      </c>
      <c r="C222" s="391">
        <f>SUM(C223)</f>
        <v>20000</v>
      </c>
      <c r="D222" s="391">
        <f>SUM(D223)</f>
        <v>20000</v>
      </c>
      <c r="E222" s="391">
        <f>SUM(E223)</f>
        <v>0</v>
      </c>
      <c r="F222" s="590">
        <f>SUM(F223)</f>
        <v>0</v>
      </c>
      <c r="G222" s="127">
        <v>0</v>
      </c>
      <c r="H222" s="561">
        <v>0</v>
      </c>
      <c r="I222" s="130"/>
      <c r="J222" s="121"/>
      <c r="K222" s="118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62.25" customHeight="1">
      <c r="A223" s="273">
        <v>50110000</v>
      </c>
      <c r="B223" s="329" t="s">
        <v>299</v>
      </c>
      <c r="C223" s="400">
        <v>20000</v>
      </c>
      <c r="D223" s="400">
        <v>20000</v>
      </c>
      <c r="E223" s="400">
        <v>0</v>
      </c>
      <c r="F223" s="119">
        <v>0</v>
      </c>
      <c r="G223" s="129">
        <v>0</v>
      </c>
      <c r="H223" s="651">
        <v>0</v>
      </c>
      <c r="I223" s="130"/>
      <c r="J223" s="121"/>
      <c r="K223" s="11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36" customHeight="1">
      <c r="A224" s="273"/>
      <c r="B224" s="347" t="s">
        <v>233</v>
      </c>
      <c r="C224" s="401">
        <f>C181+C187+C208+C222</f>
        <v>1396421</v>
      </c>
      <c r="D224" s="401">
        <f>D181+D187+D208+D222</f>
        <v>1358127</v>
      </c>
      <c r="E224" s="401">
        <f>E181+E187+E208+E222</f>
        <v>483549.03399999999</v>
      </c>
      <c r="F224" s="212">
        <f t="shared" ref="F224:F241" si="86">IF(C224=0,"",E224/C224*100)</f>
        <v>34.627740058334844</v>
      </c>
      <c r="G224" s="555">
        <f t="shared" ref="G224:G241" si="87">IF(D224=0,"",E224/D224*100)</f>
        <v>35.604110219441921</v>
      </c>
      <c r="H224" s="644">
        <f>SUM(D224-E224)</f>
        <v>874577.96600000001</v>
      </c>
      <c r="I224" s="211">
        <f>I181+I187+I208</f>
        <v>12818.05</v>
      </c>
      <c r="J224" s="209">
        <f>E224-I224</f>
        <v>470730.984</v>
      </c>
      <c r="K224" s="210">
        <f>E224/I224*100-100</f>
        <v>3672.4071446124804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30" customHeight="1">
      <c r="A225" s="497" t="s">
        <v>13</v>
      </c>
      <c r="B225" s="575" t="s">
        <v>137</v>
      </c>
      <c r="C225" s="499">
        <f>C215+C224</f>
        <v>1396421</v>
      </c>
      <c r="D225" s="499">
        <f>D215+D224</f>
        <v>1358127</v>
      </c>
      <c r="E225" s="576">
        <f>E181+E187+E208+E222</f>
        <v>483549.03399999999</v>
      </c>
      <c r="F225" s="565">
        <f t="shared" si="86"/>
        <v>34.627740058334844</v>
      </c>
      <c r="G225" s="566">
        <f t="shared" si="87"/>
        <v>35.604110219441921</v>
      </c>
      <c r="H225" s="567">
        <f t="shared" si="75"/>
        <v>-874577.96600000001</v>
      </c>
      <c r="I225" s="125">
        <f>I181+I187+I208</f>
        <v>12818.05</v>
      </c>
      <c r="J225" s="131">
        <f>E225-I225</f>
        <v>470730.984</v>
      </c>
      <c r="K225" s="132">
        <f>E225/I225*100-100</f>
        <v>3672.4071446124804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25.5" customHeight="1" thickBot="1">
      <c r="A226" s="557"/>
      <c r="B226" s="559" t="s">
        <v>197</v>
      </c>
      <c r="C226" s="560">
        <v>62081</v>
      </c>
      <c r="D226" s="560">
        <v>32081</v>
      </c>
      <c r="E226" s="560">
        <v>0</v>
      </c>
      <c r="F226" s="473">
        <f t="shared" si="86"/>
        <v>0</v>
      </c>
      <c r="G226" s="474">
        <f t="shared" si="87"/>
        <v>0</v>
      </c>
      <c r="H226" s="561">
        <f t="shared" si="75"/>
        <v>-32081</v>
      </c>
      <c r="I226" s="189">
        <f>I195+I197+I208</f>
        <v>6816.3040000000001</v>
      </c>
      <c r="J226" s="131">
        <f>E226-I226</f>
        <v>-6816.3040000000001</v>
      </c>
      <c r="K226" s="132">
        <f>E226/I226*100-100</f>
        <v>-100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6" customFormat="1" ht="26.25" customHeight="1" thickBot="1">
      <c r="A227" s="602" t="s">
        <v>43</v>
      </c>
      <c r="B227" s="577" t="s">
        <v>2</v>
      </c>
      <c r="C227" s="428">
        <f>C225</f>
        <v>1396421</v>
      </c>
      <c r="D227" s="428">
        <f>D225</f>
        <v>1358127</v>
      </c>
      <c r="E227" s="428">
        <f>E225</f>
        <v>483549.03399999999</v>
      </c>
      <c r="F227" s="315">
        <f>IF(C227=0,"",E227/C227*100)</f>
        <v>34.627740058334844</v>
      </c>
      <c r="G227" s="578">
        <f t="shared" si="87"/>
        <v>35.604110219441921</v>
      </c>
      <c r="H227" s="579">
        <f t="shared" si="75"/>
        <v>-874577.96600000001</v>
      </c>
      <c r="I227" s="558">
        <f>I225+I221</f>
        <v>13872.680999999999</v>
      </c>
      <c r="J227" s="91">
        <f>E227-I227</f>
        <v>469676.353</v>
      </c>
      <c r="K227" s="70">
        <f>E227/I227*100-100</f>
        <v>3385.620652561679</v>
      </c>
      <c r="L227" s="225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s="12" customFormat="1" ht="25.9" customHeight="1" thickBot="1">
      <c r="A228" s="605"/>
      <c r="B228" s="603" t="s">
        <v>41</v>
      </c>
      <c r="C228" s="606">
        <f>SUM(C284)</f>
        <v>2112744</v>
      </c>
      <c r="D228" s="606">
        <f t="shared" ref="D228" si="88">SUM(D284)</f>
        <v>2074450</v>
      </c>
      <c r="E228" s="606">
        <f>SUM(E284)</f>
        <v>419666</v>
      </c>
      <c r="F228" s="608">
        <f>IF(C228=0,"",E228/C228*100)</f>
        <v>19.863551854839017</v>
      </c>
      <c r="G228" s="609">
        <f t="shared" si="87"/>
        <v>20.230229699438404</v>
      </c>
      <c r="H228" s="610">
        <f t="shared" si="75"/>
        <v>-1654784</v>
      </c>
      <c r="I228" s="50"/>
      <c r="J228" s="88"/>
      <c r="K228" s="27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24" customHeight="1">
      <c r="A229" s="604" t="s">
        <v>30</v>
      </c>
      <c r="B229" s="403" t="s">
        <v>140</v>
      </c>
      <c r="C229" s="412">
        <f>C230+C231+C232</f>
        <v>0</v>
      </c>
      <c r="D229" s="412">
        <f>D230+D231+D232</f>
        <v>0</v>
      </c>
      <c r="E229" s="412">
        <f>E230+E231+E232</f>
        <v>0</v>
      </c>
      <c r="F229" s="290" t="str">
        <f t="shared" si="86"/>
        <v/>
      </c>
      <c r="G229" s="591" t="str">
        <f t="shared" si="87"/>
        <v/>
      </c>
      <c r="H229" s="404">
        <f t="shared" si="75"/>
        <v>0</v>
      </c>
      <c r="I229" s="104">
        <f>SUM(I230:I234)</f>
        <v>0</v>
      </c>
      <c r="J229" s="88">
        <f t="shared" ref="J229:J254" si="89">E229-I229</f>
        <v>0</v>
      </c>
      <c r="K229" s="27" t="e">
        <f t="shared" ref="K229:K261" si="90">E229/I229*100-100</f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5.25" hidden="1" customHeight="1">
      <c r="A230" s="269" t="s">
        <v>141</v>
      </c>
      <c r="B230" s="405" t="s">
        <v>142</v>
      </c>
      <c r="C230" s="406"/>
      <c r="D230" s="407"/>
      <c r="E230" s="407"/>
      <c r="F230" s="303" t="str">
        <f t="shared" si="86"/>
        <v/>
      </c>
      <c r="G230" s="304" t="str">
        <f t="shared" si="87"/>
        <v/>
      </c>
      <c r="H230" s="404">
        <f t="shared" si="75"/>
        <v>0</v>
      </c>
      <c r="I230" s="74"/>
      <c r="J230" s="88">
        <f t="shared" si="89"/>
        <v>0</v>
      </c>
      <c r="K230" s="27" t="e">
        <f t="shared" si="90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28.5" hidden="1" customHeight="1">
      <c r="A231" s="232" t="s">
        <v>145</v>
      </c>
      <c r="B231" s="408" t="s">
        <v>146</v>
      </c>
      <c r="C231" s="406"/>
      <c r="D231" s="407"/>
      <c r="E231" s="407"/>
      <c r="F231" s="279" t="str">
        <f t="shared" si="86"/>
        <v/>
      </c>
      <c r="G231" s="580" t="str">
        <f t="shared" si="87"/>
        <v/>
      </c>
      <c r="H231" s="404">
        <f t="shared" si="75"/>
        <v>0</v>
      </c>
      <c r="I231" s="74"/>
      <c r="J231" s="88">
        <f t="shared" si="89"/>
        <v>0</v>
      </c>
      <c r="K231" s="27" t="e">
        <f t="shared" si="90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9.25" hidden="1" customHeight="1">
      <c r="A232" s="276" t="s">
        <v>325</v>
      </c>
      <c r="B232" s="408" t="s">
        <v>144</v>
      </c>
      <c r="C232" s="406"/>
      <c r="D232" s="407"/>
      <c r="E232" s="407"/>
      <c r="F232" s="279" t="str">
        <f t="shared" si="86"/>
        <v/>
      </c>
      <c r="G232" s="304" t="str">
        <f t="shared" si="87"/>
        <v/>
      </c>
      <c r="H232" s="404">
        <f t="shared" si="75"/>
        <v>0</v>
      </c>
      <c r="I232" s="74"/>
      <c r="J232" s="88">
        <f t="shared" si="89"/>
        <v>0</v>
      </c>
      <c r="K232" s="27" t="e">
        <f t="shared" si="90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8.5" hidden="1" customHeight="1">
      <c r="A233" s="276" t="s">
        <v>326</v>
      </c>
      <c r="B233" s="408" t="s">
        <v>144</v>
      </c>
      <c r="C233" s="406"/>
      <c r="D233" s="407"/>
      <c r="E233" s="407"/>
      <c r="F233" s="303" t="str">
        <f t="shared" si="86"/>
        <v/>
      </c>
      <c r="G233" s="304" t="str">
        <f t="shared" si="87"/>
        <v/>
      </c>
      <c r="H233" s="404">
        <f t="shared" si="75"/>
        <v>0</v>
      </c>
      <c r="I233" s="74"/>
      <c r="J233" s="88">
        <f t="shared" si="89"/>
        <v>0</v>
      </c>
      <c r="K233" s="27" t="e">
        <f t="shared" si="90"/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0.75" hidden="1" customHeight="1">
      <c r="A234" s="276" t="s">
        <v>327</v>
      </c>
      <c r="B234" s="408" t="s">
        <v>144</v>
      </c>
      <c r="C234" s="406"/>
      <c r="D234" s="413"/>
      <c r="E234" s="407"/>
      <c r="F234" s="303" t="str">
        <f t="shared" si="86"/>
        <v/>
      </c>
      <c r="G234" s="304" t="str">
        <f t="shared" si="87"/>
        <v/>
      </c>
      <c r="H234" s="404">
        <v>0</v>
      </c>
      <c r="I234" s="74"/>
      <c r="J234" s="88">
        <f t="shared" si="89"/>
        <v>0</v>
      </c>
      <c r="K234" s="27" t="e">
        <f t="shared" si="90"/>
        <v>#DIV/0!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12" customFormat="1" ht="24.75" customHeight="1">
      <c r="A235" s="268" t="s">
        <v>31</v>
      </c>
      <c r="B235" s="410" t="s">
        <v>147</v>
      </c>
      <c r="C235" s="593">
        <f>C236+C237+C242+C239+C240+C241</f>
        <v>1700003</v>
      </c>
      <c r="D235" s="593">
        <f>D236+D237+D242+D239+D240+D241</f>
        <v>1700003</v>
      </c>
      <c r="E235" s="593">
        <f>E236+E237+E240+E242</f>
        <v>359666</v>
      </c>
      <c r="F235" s="279">
        <f t="shared" si="86"/>
        <v>21.156786193906715</v>
      </c>
      <c r="G235" s="304">
        <f t="shared" si="87"/>
        <v>21.156786193906715</v>
      </c>
      <c r="H235" s="404">
        <f>E235-D235</f>
        <v>-1340337</v>
      </c>
      <c r="I235" s="104">
        <f>SUM(I236:I245)</f>
        <v>0</v>
      </c>
      <c r="J235" s="88">
        <f t="shared" si="89"/>
        <v>359666</v>
      </c>
      <c r="K235" s="27" t="e">
        <f t="shared" si="90"/>
        <v>#DIV/0!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s="194" customFormat="1" ht="28.15" customHeight="1">
      <c r="A236" s="269" t="s">
        <v>148</v>
      </c>
      <c r="B236" s="405" t="s">
        <v>149</v>
      </c>
      <c r="C236" s="415">
        <v>334127</v>
      </c>
      <c r="D236" s="409">
        <v>334127</v>
      </c>
      <c r="E236" s="462">
        <v>20908</v>
      </c>
      <c r="F236" s="278">
        <f t="shared" si="86"/>
        <v>6.2575008903800047</v>
      </c>
      <c r="G236" s="581">
        <f t="shared" si="87"/>
        <v>6.2575008903800047</v>
      </c>
      <c r="H236" s="404">
        <f>E236-D236</f>
        <v>-313219</v>
      </c>
      <c r="I236" s="73"/>
      <c r="J236" s="88">
        <f t="shared" si="89"/>
        <v>20908</v>
      </c>
      <c r="K236" s="27" t="e">
        <f t="shared" si="90"/>
        <v>#DIV/0!</v>
      </c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6" customFormat="1" ht="31.5" customHeight="1">
      <c r="A237" s="268" t="s">
        <v>150</v>
      </c>
      <c r="B237" s="363" t="s">
        <v>253</v>
      </c>
      <c r="C237" s="414">
        <f>C238</f>
        <v>1305876</v>
      </c>
      <c r="D237" s="414">
        <f>D238</f>
        <v>1305876</v>
      </c>
      <c r="E237" s="414">
        <f>E238</f>
        <v>306748</v>
      </c>
      <c r="F237" s="301">
        <f t="shared" si="86"/>
        <v>23.489825986540836</v>
      </c>
      <c r="G237" s="255">
        <f t="shared" si="87"/>
        <v>23.489825986540836</v>
      </c>
      <c r="H237" s="411">
        <f>E237-D237</f>
        <v>-999128</v>
      </c>
      <c r="I237" s="291"/>
      <c r="J237" s="87">
        <f t="shared" si="89"/>
        <v>306748</v>
      </c>
      <c r="K237" s="71" t="e">
        <f t="shared" si="90"/>
        <v>#DIV/0!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s="194" customFormat="1" ht="33" customHeight="1">
      <c r="A238" s="269">
        <v>1021</v>
      </c>
      <c r="B238" s="364" t="s">
        <v>254</v>
      </c>
      <c r="C238" s="415">
        <v>1305876</v>
      </c>
      <c r="D238" s="409">
        <v>1305876</v>
      </c>
      <c r="E238" s="409">
        <v>306748</v>
      </c>
      <c r="F238" s="278">
        <f t="shared" si="86"/>
        <v>23.489825986540836</v>
      </c>
      <c r="G238" s="253">
        <f t="shared" si="87"/>
        <v>23.489825986540836</v>
      </c>
      <c r="H238" s="404">
        <f>E238-D238</f>
        <v>-999128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37.9" hidden="1" customHeight="1">
      <c r="A239" s="268">
        <v>1171</v>
      </c>
      <c r="B239" s="363" t="s">
        <v>306</v>
      </c>
      <c r="C239" s="414"/>
      <c r="D239" s="582"/>
      <c r="E239" s="582">
        <v>0</v>
      </c>
      <c r="F239" s="278" t="str">
        <f t="shared" si="86"/>
        <v/>
      </c>
      <c r="G239" s="253" t="str">
        <f t="shared" si="87"/>
        <v/>
      </c>
      <c r="H239" s="404">
        <f t="shared" ref="H239:H241" si="91">E239-D239</f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34.15" customHeight="1">
      <c r="A240" s="268">
        <v>1080</v>
      </c>
      <c r="B240" s="363" t="s">
        <v>300</v>
      </c>
      <c r="C240" s="414">
        <v>60000</v>
      </c>
      <c r="D240" s="582">
        <v>60000</v>
      </c>
      <c r="E240" s="582">
        <v>32010</v>
      </c>
      <c r="F240" s="278">
        <f t="shared" si="86"/>
        <v>53.349999999999994</v>
      </c>
      <c r="G240" s="253">
        <f t="shared" si="87"/>
        <v>53.349999999999994</v>
      </c>
      <c r="H240" s="404">
        <f t="shared" si="91"/>
        <v>-27990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194" customFormat="1" ht="0.6" hidden="1" customHeight="1">
      <c r="A241" s="268">
        <v>1182</v>
      </c>
      <c r="B241" s="363" t="s">
        <v>307</v>
      </c>
      <c r="C241" s="414"/>
      <c r="D241" s="414"/>
      <c r="E241" s="414">
        <v>0</v>
      </c>
      <c r="F241" s="278" t="str">
        <f t="shared" si="86"/>
        <v/>
      </c>
      <c r="G241" s="253" t="str">
        <f t="shared" si="87"/>
        <v/>
      </c>
      <c r="H241" s="404">
        <f t="shared" si="91"/>
        <v>0</v>
      </c>
      <c r="I241" s="73"/>
      <c r="J241" s="88"/>
      <c r="K241" s="27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</row>
    <row r="242" spans="1:25" s="194" customFormat="1" ht="14.45" hidden="1" customHeight="1">
      <c r="A242" s="268">
        <v>1200</v>
      </c>
      <c r="B242" s="363" t="s">
        <v>256</v>
      </c>
      <c r="C242" s="593"/>
      <c r="D242" s="416"/>
      <c r="E242" s="416">
        <v>0</v>
      </c>
      <c r="F242" s="280" t="str">
        <f>IF(C242=0,"",E242/C242*100)</f>
        <v/>
      </c>
      <c r="G242" s="254" t="str">
        <f>IF(D242=0,"",E242/D242*100)</f>
        <v/>
      </c>
      <c r="H242" s="414">
        <f>E242-D242</f>
        <v>0</v>
      </c>
      <c r="I242" s="73"/>
      <c r="J242" s="88"/>
      <c r="K242" s="27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6" customFormat="1" ht="21" hidden="1" customHeight="1">
      <c r="A243" s="268">
        <v>2000</v>
      </c>
      <c r="B243" s="363" t="s">
        <v>275</v>
      </c>
      <c r="C243" s="414">
        <f>SUM(C244)</f>
        <v>0</v>
      </c>
      <c r="D243" s="414">
        <f>SUM(D244)</f>
        <v>0</v>
      </c>
      <c r="E243" s="414">
        <f>SUM(E244)</f>
        <v>0</v>
      </c>
      <c r="F243" s="282" t="str">
        <f>IF(C243=0,"",E243/C243*100)</f>
        <v/>
      </c>
      <c r="G243" s="254" t="str">
        <f>IF(D243=0,"",E243/D243*100)</f>
        <v/>
      </c>
      <c r="H243" s="414">
        <f>E243-D243</f>
        <v>0</v>
      </c>
      <c r="I243" s="291"/>
      <c r="J243" s="87">
        <f t="shared" si="89"/>
        <v>0</v>
      </c>
      <c r="K243" s="71" t="e">
        <f t="shared" si="90"/>
        <v>#DIV/0!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s="194" customFormat="1" ht="31.9" hidden="1" customHeight="1">
      <c r="A244" s="268">
        <v>2111</v>
      </c>
      <c r="B244" s="364" t="s">
        <v>274</v>
      </c>
      <c r="C244" s="415"/>
      <c r="D244" s="409"/>
      <c r="E244" s="409">
        <v>0</v>
      </c>
      <c r="F244" s="278" t="str">
        <f>IF(C244=0,"",E244/C244*100)</f>
        <v/>
      </c>
      <c r="G244" s="253" t="str">
        <f>IF(D244=0,"",E244/D244*100)</f>
        <v/>
      </c>
      <c r="H244" s="404">
        <f>E244-D244</f>
        <v>0</v>
      </c>
      <c r="I244" s="73"/>
      <c r="J244" s="88">
        <f t="shared" si="89"/>
        <v>0</v>
      </c>
      <c r="K244" s="27" t="e">
        <f t="shared" si="90"/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0.75" hidden="1" customHeight="1">
      <c r="A245" s="269"/>
      <c r="B245" s="364"/>
      <c r="C245" s="594"/>
      <c r="D245" s="413">
        <v>0</v>
      </c>
      <c r="E245" s="413">
        <v>0</v>
      </c>
      <c r="F245" s="279" t="str">
        <f>IF(C245=0,"",E245/C245*100)</f>
        <v/>
      </c>
      <c r="G245" s="253" t="str">
        <f>IF(D245=0,"",E245/D245*100)</f>
        <v/>
      </c>
      <c r="H245" s="404">
        <f>E245-D245</f>
        <v>0</v>
      </c>
      <c r="I245" s="73"/>
      <c r="J245" s="88">
        <f t="shared" si="89"/>
        <v>0</v>
      </c>
      <c r="K245" s="27" t="e">
        <f t="shared" si="90"/>
        <v>#DIV/0!</v>
      </c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27" hidden="1" customHeight="1">
      <c r="A246" s="231" t="s">
        <v>32</v>
      </c>
      <c r="B246" s="324" t="s">
        <v>151</v>
      </c>
      <c r="C246" s="593">
        <f>SUM(C247:C248)</f>
        <v>0</v>
      </c>
      <c r="D246" s="593">
        <f>SUM(D247:D248)</f>
        <v>0</v>
      </c>
      <c r="E246" s="593">
        <f>SUM(E247:E248)</f>
        <v>0</v>
      </c>
      <c r="F246" s="280" t="str">
        <f>IF(C246=0,"",E246/C246*100)</f>
        <v/>
      </c>
      <c r="G246" s="254" t="str">
        <f>IF(D246=0,"",E246/D246*100)</f>
        <v/>
      </c>
      <c r="H246" s="414">
        <f>E246-D246</f>
        <v>0</v>
      </c>
      <c r="I246" s="195">
        <f>I247+I248</f>
        <v>0</v>
      </c>
      <c r="J246" s="87">
        <f>E246-I246</f>
        <v>0</v>
      </c>
      <c r="K246" s="71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94" customFormat="1" ht="39.75" hidden="1" customHeight="1">
      <c r="A247" s="232">
        <v>2010</v>
      </c>
      <c r="B247" s="329" t="s">
        <v>244</v>
      </c>
      <c r="C247" s="594"/>
      <c r="D247" s="594"/>
      <c r="E247" s="594"/>
      <c r="F247" s="281"/>
      <c r="G247" s="288"/>
      <c r="H247" s="415"/>
      <c r="I247" s="289">
        <v>0</v>
      </c>
      <c r="J247" s="88"/>
      <c r="K247" s="27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1.5" hidden="1" customHeight="1">
      <c r="A248" s="232" t="s">
        <v>23</v>
      </c>
      <c r="B248" s="329" t="s">
        <v>44</v>
      </c>
      <c r="C248" s="594">
        <v>0</v>
      </c>
      <c r="D248" s="413">
        <v>0</v>
      </c>
      <c r="E248" s="413">
        <v>0</v>
      </c>
      <c r="F248" s="279" t="str">
        <f t="shared" ref="F248:F282" si="92">IF(C248=0,"",E248/C248*100)</f>
        <v/>
      </c>
      <c r="G248" s="253" t="str">
        <f t="shared" ref="G248:G288" si="93">IF(D248=0,"",E248/D248*100)</f>
        <v/>
      </c>
      <c r="H248" s="404">
        <f t="shared" ref="H248:H287" si="94">E248-D248</f>
        <v>0</v>
      </c>
      <c r="I248" s="73"/>
      <c r="J248" s="88">
        <f>E248-I248</f>
        <v>0</v>
      </c>
      <c r="K248" s="27" t="e">
        <f>E248/I248*100-100</f>
        <v>#DIV/0!</v>
      </c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2" customFormat="1" ht="21" hidden="1" customHeight="1">
      <c r="A249" s="268" t="s">
        <v>33</v>
      </c>
      <c r="B249" s="410" t="s">
        <v>42</v>
      </c>
      <c r="C249" s="593">
        <f>SUM(C250:C252)</f>
        <v>0</v>
      </c>
      <c r="D249" s="593">
        <f>SUM(D250:D252)</f>
        <v>0</v>
      </c>
      <c r="E249" s="593">
        <f>SUM(E250:E252)</f>
        <v>0</v>
      </c>
      <c r="F249" s="279" t="str">
        <f t="shared" si="92"/>
        <v/>
      </c>
      <c r="G249" s="253" t="str">
        <f t="shared" si="93"/>
        <v/>
      </c>
      <c r="H249" s="404">
        <f t="shared" si="94"/>
        <v>0</v>
      </c>
      <c r="I249" s="104">
        <f>SUM(I250:I252)</f>
        <v>0</v>
      </c>
      <c r="J249" s="88">
        <f t="shared" si="89"/>
        <v>0</v>
      </c>
      <c r="K249" s="27" t="e">
        <f t="shared" si="90"/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" hidden="1" customHeight="1">
      <c r="A250" s="269" t="s">
        <v>152</v>
      </c>
      <c r="B250" s="405" t="s">
        <v>153</v>
      </c>
      <c r="C250" s="594"/>
      <c r="D250" s="413">
        <v>0</v>
      </c>
      <c r="E250" s="413"/>
      <c r="F250" s="279" t="str">
        <f t="shared" si="92"/>
        <v/>
      </c>
      <c r="G250" s="253" t="str">
        <f t="shared" si="93"/>
        <v/>
      </c>
      <c r="H250" s="404">
        <f t="shared" si="94"/>
        <v>0</v>
      </c>
      <c r="I250" s="73">
        <v>0</v>
      </c>
      <c r="J250" s="88">
        <f t="shared" si="89"/>
        <v>0</v>
      </c>
      <c r="K250" s="27" t="e">
        <f t="shared" si="90"/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18" hidden="1" customHeight="1">
      <c r="A251" s="269">
        <v>3120</v>
      </c>
      <c r="B251" s="405" t="s">
        <v>240</v>
      </c>
      <c r="C251" s="594"/>
      <c r="D251" s="413"/>
      <c r="E251" s="413"/>
      <c r="F251" s="279" t="str">
        <f t="shared" si="92"/>
        <v/>
      </c>
      <c r="G251" s="253" t="str">
        <f t="shared" si="93"/>
        <v/>
      </c>
      <c r="H251" s="404">
        <f t="shared" si="94"/>
        <v>0</v>
      </c>
      <c r="I251" s="73">
        <v>0</v>
      </c>
      <c r="J251" s="88">
        <f>E251-I251</f>
        <v>0</v>
      </c>
      <c r="K251" s="27" t="e">
        <f>E251/I251*100-100</f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2" customFormat="1" ht="21.75" hidden="1" customHeight="1">
      <c r="A252" s="269">
        <v>3210</v>
      </c>
      <c r="B252" s="405" t="s">
        <v>155</v>
      </c>
      <c r="C252" s="594">
        <v>0</v>
      </c>
      <c r="D252" s="413">
        <v>0</v>
      </c>
      <c r="E252" s="413">
        <v>0</v>
      </c>
      <c r="F252" s="279" t="str">
        <f t="shared" si="92"/>
        <v/>
      </c>
      <c r="G252" s="253" t="str">
        <f t="shared" si="93"/>
        <v/>
      </c>
      <c r="H252" s="404">
        <f t="shared" si="94"/>
        <v>0</v>
      </c>
      <c r="I252" s="73"/>
      <c r="J252" s="88">
        <f>E252-I252</f>
        <v>0</v>
      </c>
      <c r="K252" s="27" t="e">
        <f>E252/I252*100-100</f>
        <v>#DIV/0!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s="12" customFormat="1" ht="22.5" customHeight="1">
      <c r="A253" s="268" t="s">
        <v>34</v>
      </c>
      <c r="B253" s="410" t="s">
        <v>157</v>
      </c>
      <c r="C253" s="593">
        <f>SUM(C254:C257)</f>
        <v>2000</v>
      </c>
      <c r="D253" s="593">
        <f>SUM(D254:D257)</f>
        <v>2000</v>
      </c>
      <c r="E253" s="593">
        <f>SUM(E254:E257)</f>
        <v>0</v>
      </c>
      <c r="F253" s="280">
        <f t="shared" si="92"/>
        <v>0</v>
      </c>
      <c r="G253" s="254">
        <f t="shared" si="93"/>
        <v>0</v>
      </c>
      <c r="H253" s="414">
        <f t="shared" si="94"/>
        <v>-2000</v>
      </c>
      <c r="I253" s="104">
        <f>I255+I254</f>
        <v>0</v>
      </c>
      <c r="J253" s="87">
        <f t="shared" si="89"/>
        <v>0</v>
      </c>
      <c r="K253" s="27" t="e">
        <f t="shared" si="90"/>
        <v>#DIV/0!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s="194" customFormat="1" ht="26.45" customHeight="1">
      <c r="A254" s="269" t="s">
        <v>158</v>
      </c>
      <c r="B254" s="405" t="s">
        <v>159</v>
      </c>
      <c r="C254" s="594">
        <v>2000</v>
      </c>
      <c r="D254" s="413">
        <v>2000</v>
      </c>
      <c r="E254" s="413">
        <v>0</v>
      </c>
      <c r="F254" s="279">
        <f t="shared" si="92"/>
        <v>0</v>
      </c>
      <c r="G254" s="253">
        <f t="shared" si="93"/>
        <v>0</v>
      </c>
      <c r="H254" s="404">
        <f t="shared" si="94"/>
        <v>-2000</v>
      </c>
      <c r="I254" s="73"/>
      <c r="J254" s="88">
        <f t="shared" si="89"/>
        <v>0</v>
      </c>
      <c r="K254" s="27" t="e">
        <f t="shared" si="90"/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194" customFormat="1" ht="15" hidden="1" customHeight="1">
      <c r="A255" s="269">
        <v>4040</v>
      </c>
      <c r="B255" s="329" t="s">
        <v>160</v>
      </c>
      <c r="C255" s="594">
        <v>0</v>
      </c>
      <c r="D255" s="413">
        <v>0</v>
      </c>
      <c r="E255" s="413">
        <v>0</v>
      </c>
      <c r="F255" s="279" t="str">
        <f t="shared" si="92"/>
        <v/>
      </c>
      <c r="G255" s="253" t="str">
        <f t="shared" si="93"/>
        <v/>
      </c>
      <c r="H255" s="404">
        <f t="shared" si="94"/>
        <v>0</v>
      </c>
      <c r="I255" s="73"/>
      <c r="J255" s="88">
        <f>E255-I255</f>
        <v>0</v>
      </c>
      <c r="K255" s="27" t="e">
        <f>E255/I255*100-100</f>
        <v>#DIV/0!</v>
      </c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</row>
    <row r="256" spans="1:25" s="194" customFormat="1" ht="30.6" hidden="1" customHeight="1">
      <c r="A256" s="269">
        <v>4060</v>
      </c>
      <c r="B256" s="329" t="s">
        <v>252</v>
      </c>
      <c r="C256" s="594"/>
      <c r="D256" s="413"/>
      <c r="E256" s="413"/>
      <c r="F256" s="279" t="str">
        <f t="shared" si="92"/>
        <v/>
      </c>
      <c r="G256" s="253" t="str">
        <f t="shared" si="93"/>
        <v/>
      </c>
      <c r="H256" s="404">
        <f t="shared" si="94"/>
        <v>0</v>
      </c>
      <c r="I256" s="73">
        <v>0</v>
      </c>
      <c r="J256" s="88">
        <f>E256-I256</f>
        <v>0</v>
      </c>
      <c r="K256" s="27" t="e">
        <f>E256/I256*100-100</f>
        <v>#DIV/0!</v>
      </c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</row>
    <row r="257" spans="1:25" s="6" customFormat="1" ht="30.6" hidden="1" customHeight="1">
      <c r="A257" s="268">
        <v>4080</v>
      </c>
      <c r="B257" s="324" t="s">
        <v>163</v>
      </c>
      <c r="C257" s="593"/>
      <c r="D257" s="416"/>
      <c r="E257" s="416"/>
      <c r="F257" s="290" t="str">
        <f t="shared" si="92"/>
        <v/>
      </c>
      <c r="G257" s="255" t="str">
        <f t="shared" si="93"/>
        <v/>
      </c>
      <c r="H257" s="411">
        <f t="shared" si="94"/>
        <v>0</v>
      </c>
      <c r="I257" s="291">
        <v>0</v>
      </c>
      <c r="J257" s="87">
        <f>E257-I257</f>
        <v>0</v>
      </c>
      <c r="K257" s="71" t="e">
        <f>E257/I257*100-100</f>
        <v>#DIV/0!</v>
      </c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s="12" customFormat="1" ht="32.450000000000003" hidden="1" customHeight="1">
      <c r="A258" s="268" t="s">
        <v>35</v>
      </c>
      <c r="B258" s="410" t="s">
        <v>164</v>
      </c>
      <c r="C258" s="593">
        <f>C260</f>
        <v>0</v>
      </c>
      <c r="D258" s="593">
        <f>D260</f>
        <v>0</v>
      </c>
      <c r="E258" s="593">
        <f>E260</f>
        <v>0</v>
      </c>
      <c r="F258" s="279" t="str">
        <f t="shared" si="92"/>
        <v/>
      </c>
      <c r="G258" s="253" t="str">
        <f t="shared" si="93"/>
        <v/>
      </c>
      <c r="H258" s="414">
        <f t="shared" si="94"/>
        <v>0</v>
      </c>
      <c r="I258" s="104">
        <f>I259+I260</f>
        <v>0</v>
      </c>
      <c r="J258" s="87">
        <f t="shared" ref="J258:J287" si="95">E258-I258</f>
        <v>0</v>
      </c>
      <c r="K258" s="71" t="e">
        <f t="shared" si="90"/>
        <v>#DIV/0!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s="12" customFormat="1" ht="15.6" hidden="1" customHeight="1">
      <c r="A259" s="269">
        <v>5030</v>
      </c>
      <c r="B259" s="405" t="s">
        <v>167</v>
      </c>
      <c r="C259" s="593">
        <v>0</v>
      </c>
      <c r="D259" s="593">
        <v>0</v>
      </c>
      <c r="E259" s="593">
        <v>0</v>
      </c>
      <c r="F259" s="279" t="str">
        <f t="shared" si="92"/>
        <v/>
      </c>
      <c r="G259" s="253" t="str">
        <f t="shared" si="93"/>
        <v/>
      </c>
      <c r="H259" s="414"/>
      <c r="I259" s="294"/>
      <c r="J259" s="87"/>
      <c r="K259" s="7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94" customFormat="1" ht="28.9" hidden="1" customHeight="1">
      <c r="A260" s="269" t="s">
        <v>168</v>
      </c>
      <c r="B260" s="405" t="s">
        <v>169</v>
      </c>
      <c r="C260" s="594"/>
      <c r="D260" s="413">
        <v>0</v>
      </c>
      <c r="E260" s="413"/>
      <c r="F260" s="279" t="str">
        <f t="shared" si="92"/>
        <v/>
      </c>
      <c r="G260" s="253" t="str">
        <f t="shared" si="93"/>
        <v/>
      </c>
      <c r="H260" s="404">
        <f t="shared" si="94"/>
        <v>0</v>
      </c>
      <c r="I260" s="74"/>
      <c r="J260" s="88">
        <f t="shared" si="95"/>
        <v>0</v>
      </c>
      <c r="K260" s="27" t="e">
        <f t="shared" si="90"/>
        <v>#DIV/0!</v>
      </c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</row>
    <row r="261" spans="1:25" s="12" customFormat="1" ht="33" hidden="1" customHeight="1">
      <c r="A261" s="268" t="s">
        <v>25</v>
      </c>
      <c r="B261" s="410" t="s">
        <v>170</v>
      </c>
      <c r="C261" s="416">
        <f>C262+C263+C264</f>
        <v>0</v>
      </c>
      <c r="D261" s="416">
        <f>D262+D263+D264</f>
        <v>0</v>
      </c>
      <c r="E261" s="416">
        <f>E262+E263+E264</f>
        <v>0</v>
      </c>
      <c r="F261" s="280" t="str">
        <f t="shared" si="92"/>
        <v/>
      </c>
      <c r="G261" s="254" t="str">
        <f t="shared" si="93"/>
        <v/>
      </c>
      <c r="H261" s="414">
        <f t="shared" si="94"/>
        <v>0</v>
      </c>
      <c r="I261" s="106">
        <f>I263+I264</f>
        <v>0</v>
      </c>
      <c r="J261" s="87">
        <f t="shared" si="95"/>
        <v>0</v>
      </c>
      <c r="K261" s="71" t="e">
        <f t="shared" si="90"/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21.75" hidden="1" customHeight="1">
      <c r="A262" s="269">
        <v>6010</v>
      </c>
      <c r="B262" s="405" t="s">
        <v>241</v>
      </c>
      <c r="C262" s="413"/>
      <c r="D262" s="413"/>
      <c r="E262" s="413"/>
      <c r="F262" s="279" t="str">
        <f>IF(C262=0,"",E262/C262*100)</f>
        <v/>
      </c>
      <c r="G262" s="253" t="str">
        <f>IF(D262=0,"",E262/D262*100)</f>
        <v/>
      </c>
      <c r="H262" s="404">
        <f>E262-D262</f>
        <v>0</v>
      </c>
      <c r="I262" s="286">
        <v>0</v>
      </c>
      <c r="J262" s="88">
        <f>E262-I262</f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22.15" hidden="1" customHeight="1">
      <c r="A263" s="269" t="s">
        <v>173</v>
      </c>
      <c r="B263" s="405" t="s">
        <v>174</v>
      </c>
      <c r="C263" s="413">
        <v>0</v>
      </c>
      <c r="D263" s="413">
        <v>0</v>
      </c>
      <c r="E263" s="413"/>
      <c r="F263" s="281" t="str">
        <f t="shared" si="92"/>
        <v/>
      </c>
      <c r="G263" s="253" t="str">
        <f t="shared" si="93"/>
        <v/>
      </c>
      <c r="H263" s="404">
        <f t="shared" si="94"/>
        <v>0</v>
      </c>
      <c r="I263" s="74"/>
      <c r="J263" s="88">
        <f t="shared" si="95"/>
        <v>0</v>
      </c>
      <c r="K263" s="27" t="e">
        <f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customHeight="1">
      <c r="A264" s="269" t="s">
        <v>175</v>
      </c>
      <c r="B264" s="405" t="s">
        <v>176</v>
      </c>
      <c r="C264" s="413"/>
      <c r="D264" s="413"/>
      <c r="E264" s="413"/>
      <c r="F264" s="281" t="str">
        <f t="shared" si="92"/>
        <v/>
      </c>
      <c r="G264" s="253" t="str">
        <f t="shared" si="93"/>
        <v/>
      </c>
      <c r="H264" s="404">
        <f t="shared" si="94"/>
        <v>0</v>
      </c>
      <c r="I264" s="74"/>
      <c r="J264" s="88">
        <f t="shared" si="95"/>
        <v>0</v>
      </c>
      <c r="K264" s="27" t="e">
        <f>E264/I264*100-100</f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12" customFormat="1" ht="37.9" customHeight="1">
      <c r="A265" s="268">
        <v>7000</v>
      </c>
      <c r="B265" s="410" t="s">
        <v>55</v>
      </c>
      <c r="C265" s="416">
        <f>SUM(C270+C276+C280)+C271</f>
        <v>332081</v>
      </c>
      <c r="D265" s="416">
        <f t="shared" ref="D265:E265" si="96">SUM(D270+D276+D280)+D271</f>
        <v>302081</v>
      </c>
      <c r="E265" s="416">
        <f t="shared" si="96"/>
        <v>0</v>
      </c>
      <c r="F265" s="280">
        <f t="shared" si="92"/>
        <v>0</v>
      </c>
      <c r="G265" s="254">
        <f t="shared" si="93"/>
        <v>0</v>
      </c>
      <c r="H265" s="414">
        <f t="shared" si="94"/>
        <v>-302081</v>
      </c>
      <c r="I265" s="106">
        <f>I266</f>
        <v>0</v>
      </c>
      <c r="J265" s="87">
        <f t="shared" si="95"/>
        <v>0</v>
      </c>
      <c r="K265" s="71" t="e">
        <f t="shared" ref="K265:K287" si="97">E265/I265*100-100</f>
        <v>#DIV/0!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s="12" customFormat="1" ht="0.75" hidden="1" customHeight="1">
      <c r="A266" s="583" t="s">
        <v>177</v>
      </c>
      <c r="B266" s="405" t="s">
        <v>178</v>
      </c>
      <c r="C266" s="413"/>
      <c r="D266" s="413"/>
      <c r="E266" s="413"/>
      <c r="F266" s="281" t="str">
        <f t="shared" si="92"/>
        <v/>
      </c>
      <c r="G266" s="253" t="str">
        <f t="shared" si="93"/>
        <v/>
      </c>
      <c r="H266" s="404">
        <f t="shared" si="94"/>
        <v>0</v>
      </c>
      <c r="I266" s="74"/>
      <c r="J266" s="88">
        <f t="shared" si="95"/>
        <v>0</v>
      </c>
      <c r="K266" s="27" t="e">
        <f t="shared" si="97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6" customFormat="1" ht="8.4499999999999993" hidden="1" customHeight="1">
      <c r="A267" s="268" t="s">
        <v>36</v>
      </c>
      <c r="B267" s="410" t="s">
        <v>179</v>
      </c>
      <c r="C267" s="416">
        <f>C268+C269+C270+C272+C273+C274</f>
        <v>0</v>
      </c>
      <c r="D267" s="416">
        <f>D268+D269+D270+D272+D273+D274</f>
        <v>0</v>
      </c>
      <c r="E267" s="416">
        <f>E268+E269+E270+E272+E273+E274</f>
        <v>0</v>
      </c>
      <c r="F267" s="280" t="str">
        <f t="shared" si="92"/>
        <v/>
      </c>
      <c r="G267" s="255" t="str">
        <f t="shared" si="93"/>
        <v/>
      </c>
      <c r="H267" s="411">
        <f t="shared" si="94"/>
        <v>0</v>
      </c>
      <c r="I267" s="106">
        <f>SUM(I268:I274)</f>
        <v>0</v>
      </c>
      <c r="J267" s="87">
        <f t="shared" si="95"/>
        <v>0</v>
      </c>
      <c r="K267" s="71" t="e">
        <f t="shared" si="97"/>
        <v>#DIV/0!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s="12" customFormat="1" ht="0.6" hidden="1" customHeight="1">
      <c r="A268" s="269" t="s">
        <v>198</v>
      </c>
      <c r="B268" s="405" t="s">
        <v>199</v>
      </c>
      <c r="C268" s="413"/>
      <c r="D268" s="413"/>
      <c r="E268" s="595"/>
      <c r="F268" s="281" t="str">
        <f t="shared" si="92"/>
        <v/>
      </c>
      <c r="G268" s="253" t="str">
        <f t="shared" si="93"/>
        <v/>
      </c>
      <c r="H268" s="404">
        <f t="shared" si="94"/>
        <v>0</v>
      </c>
      <c r="I268" s="74"/>
      <c r="J268" s="88">
        <f t="shared" si="95"/>
        <v>0</v>
      </c>
      <c r="K268" s="27" t="e">
        <f t="shared" si="97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16.899999999999999" hidden="1" customHeight="1">
      <c r="A269" s="269">
        <v>7320</v>
      </c>
      <c r="B269" s="405" t="s">
        <v>208</v>
      </c>
      <c r="C269" s="413"/>
      <c r="D269" s="413"/>
      <c r="E269" s="595"/>
      <c r="F269" s="281" t="str">
        <f>IF(C269=0,"",E269/C269*100)</f>
        <v/>
      </c>
      <c r="G269" s="253" t="str">
        <f>IF(D269=0,"",E269/D269*100)</f>
        <v/>
      </c>
      <c r="H269" s="404">
        <f>E269-D269</f>
        <v>0</v>
      </c>
      <c r="I269" s="74"/>
      <c r="J269" s="88">
        <f>E269-I269</f>
        <v>0</v>
      </c>
      <c r="K269" s="27" t="e">
        <f>E269/I269*100-100</f>
        <v>#DIV/0!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3.9" hidden="1" customHeight="1">
      <c r="A270" s="269" t="s">
        <v>37</v>
      </c>
      <c r="B270" s="405" t="s">
        <v>200</v>
      </c>
      <c r="C270" s="413"/>
      <c r="D270" s="413"/>
      <c r="E270" s="413"/>
      <c r="F270" s="281" t="str">
        <f t="shared" si="92"/>
        <v/>
      </c>
      <c r="G270" s="253" t="str">
        <f t="shared" si="93"/>
        <v/>
      </c>
      <c r="H270" s="404">
        <f t="shared" si="94"/>
        <v>0</v>
      </c>
      <c r="I270" s="74"/>
      <c r="J270" s="88">
        <f t="shared" si="95"/>
        <v>0</v>
      </c>
      <c r="K270" s="27" t="e">
        <f t="shared" si="97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32.450000000000003" customHeight="1">
      <c r="A271" s="269">
        <v>7340</v>
      </c>
      <c r="B271" s="405" t="s">
        <v>319</v>
      </c>
      <c r="C271" s="413">
        <v>250000</v>
      </c>
      <c r="D271" s="413">
        <v>250000</v>
      </c>
      <c r="E271" s="413">
        <v>0</v>
      </c>
      <c r="F271" s="281"/>
      <c r="G271" s="253"/>
      <c r="H271" s="404"/>
      <c r="I271" s="74"/>
      <c r="J271" s="88"/>
      <c r="K271" s="27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1.1499999999999999" hidden="1" customHeight="1">
      <c r="A272" s="269" t="s">
        <v>201</v>
      </c>
      <c r="B272" s="405" t="s">
        <v>202</v>
      </c>
      <c r="C272" s="413"/>
      <c r="D272" s="413"/>
      <c r="E272" s="595"/>
      <c r="F272" s="281" t="str">
        <f t="shared" si="92"/>
        <v/>
      </c>
      <c r="G272" s="253" t="str">
        <f t="shared" si="93"/>
        <v/>
      </c>
      <c r="H272" s="404">
        <f t="shared" si="94"/>
        <v>0</v>
      </c>
      <c r="I272" s="74"/>
      <c r="J272" s="88">
        <f t="shared" si="95"/>
        <v>0</v>
      </c>
      <c r="K272" s="27" t="e">
        <f t="shared" si="97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16.899999999999999" hidden="1" customHeight="1">
      <c r="A273" s="269" t="s">
        <v>203</v>
      </c>
      <c r="B273" s="405" t="s">
        <v>204</v>
      </c>
      <c r="C273" s="409"/>
      <c r="D273" s="409"/>
      <c r="E273" s="596"/>
      <c r="F273" s="281" t="str">
        <f>IF(C273=0,"",E273/C273*100)</f>
        <v/>
      </c>
      <c r="G273" s="253" t="str">
        <f t="shared" si="93"/>
        <v/>
      </c>
      <c r="H273" s="404">
        <f t="shared" si="94"/>
        <v>0</v>
      </c>
      <c r="I273" s="74"/>
      <c r="J273" s="88">
        <f t="shared" si="95"/>
        <v>0</v>
      </c>
      <c r="K273" s="27" t="e">
        <f t="shared" si="97"/>
        <v>#DIV/0!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0.6" hidden="1" customHeight="1">
      <c r="A274" s="269" t="s">
        <v>180</v>
      </c>
      <c r="B274" s="405" t="s">
        <v>181</v>
      </c>
      <c r="C274" s="409"/>
      <c r="D274" s="409"/>
      <c r="E274" s="596"/>
      <c r="F274" s="281" t="str">
        <f>IF(C274=0,"",E274/C274*100)</f>
        <v/>
      </c>
      <c r="G274" s="253" t="str">
        <f t="shared" si="93"/>
        <v/>
      </c>
      <c r="H274" s="404">
        <f t="shared" si="94"/>
        <v>0</v>
      </c>
      <c r="I274" s="74"/>
      <c r="J274" s="88">
        <f t="shared" si="95"/>
        <v>0</v>
      </c>
      <c r="K274" s="27" t="e">
        <f t="shared" si="97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6" customFormat="1" ht="21.6" customHeight="1">
      <c r="A275" s="268" t="s">
        <v>38</v>
      </c>
      <c r="B275" s="410" t="s">
        <v>182</v>
      </c>
      <c r="C275" s="582">
        <f>C276</f>
        <v>62081</v>
      </c>
      <c r="D275" s="582">
        <f>D276</f>
        <v>32081</v>
      </c>
      <c r="E275" s="582">
        <f>E276</f>
        <v>0</v>
      </c>
      <c r="F275" s="282">
        <f t="shared" si="92"/>
        <v>0</v>
      </c>
      <c r="G275" s="255">
        <f t="shared" si="93"/>
        <v>0</v>
      </c>
      <c r="H275" s="411">
        <f t="shared" si="94"/>
        <v>-32081</v>
      </c>
      <c r="I275" s="106">
        <f>I276</f>
        <v>0</v>
      </c>
      <c r="J275" s="87">
        <f t="shared" si="95"/>
        <v>0</v>
      </c>
      <c r="K275" s="71" t="e">
        <f t="shared" si="97"/>
        <v>#DIV/0!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s="12" customFormat="1" ht="54" customHeight="1">
      <c r="A276" s="269">
        <v>7461</v>
      </c>
      <c r="B276" s="405" t="s">
        <v>258</v>
      </c>
      <c r="C276" s="409">
        <v>62081</v>
      </c>
      <c r="D276" s="409">
        <v>32081</v>
      </c>
      <c r="E276" s="596">
        <v>0</v>
      </c>
      <c r="F276" s="283">
        <f t="shared" si="92"/>
        <v>0</v>
      </c>
      <c r="G276" s="253">
        <f t="shared" si="93"/>
        <v>0</v>
      </c>
      <c r="H276" s="404">
        <f t="shared" si="94"/>
        <v>-32081</v>
      </c>
      <c r="I276" s="74"/>
      <c r="J276" s="88">
        <f t="shared" si="95"/>
        <v>0</v>
      </c>
      <c r="K276" s="27" t="e">
        <f t="shared" si="97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4" hidden="1" customHeight="1">
      <c r="A277" s="268" t="s">
        <v>39</v>
      </c>
      <c r="B277" s="410" t="s">
        <v>51</v>
      </c>
      <c r="C277" s="582">
        <f>C278+C279+C280</f>
        <v>20000</v>
      </c>
      <c r="D277" s="582">
        <f>D278+D279+D280</f>
        <v>20000</v>
      </c>
      <c r="E277" s="582">
        <f>E278+E279+E280</f>
        <v>0</v>
      </c>
      <c r="F277" s="505">
        <f>IF(C277=0,"",E277/C277*100)</f>
        <v>0</v>
      </c>
      <c r="G277" s="506">
        <f>IF(D277=0,"",E277/D277*100)</f>
        <v>0</v>
      </c>
      <c r="H277" s="507">
        <f>E277-D277</f>
        <v>-20000</v>
      </c>
      <c r="I277" s="106">
        <f>I278+I279</f>
        <v>0</v>
      </c>
      <c r="J277" s="88">
        <f t="shared" si="95"/>
        <v>0</v>
      </c>
      <c r="K277" s="27" t="e">
        <f t="shared" si="97"/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20.25" hidden="1" customHeight="1">
      <c r="A278" s="269" t="s">
        <v>205</v>
      </c>
      <c r="B278" s="405" t="s">
        <v>206</v>
      </c>
      <c r="C278" s="409"/>
      <c r="D278" s="409"/>
      <c r="E278" s="409"/>
      <c r="F278" s="283" t="str">
        <f t="shared" si="92"/>
        <v/>
      </c>
      <c r="G278" s="253" t="str">
        <f t="shared" si="93"/>
        <v/>
      </c>
      <c r="H278" s="404">
        <f t="shared" si="94"/>
        <v>0</v>
      </c>
      <c r="I278" s="69"/>
      <c r="J278" s="88">
        <f t="shared" si="95"/>
        <v>0</v>
      </c>
      <c r="K278" s="27" t="e">
        <f t="shared" si="97"/>
        <v>#DIV/0!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20.25" hidden="1" customHeight="1">
      <c r="A279" s="269">
        <v>7670</v>
      </c>
      <c r="B279" s="405" t="s">
        <v>238</v>
      </c>
      <c r="C279" s="409"/>
      <c r="D279" s="409"/>
      <c r="E279" s="409"/>
      <c r="F279" s="283" t="str">
        <f>IF(C279=0,"",E279/C279*100)</f>
        <v/>
      </c>
      <c r="G279" s="253" t="str">
        <f>IF(D279=0,"",E279/D279*100)</f>
        <v/>
      </c>
      <c r="H279" s="404">
        <f t="shared" si="94"/>
        <v>0</v>
      </c>
      <c r="I279" s="69"/>
      <c r="J279" s="88">
        <f>E279-I279</f>
        <v>0</v>
      </c>
      <c r="K279" s="27" t="e">
        <f>E279/I279*100-100</f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3.75" customHeight="1">
      <c r="A280" s="269">
        <v>7691</v>
      </c>
      <c r="B280" s="405" t="s">
        <v>290</v>
      </c>
      <c r="C280" s="409">
        <v>20000</v>
      </c>
      <c r="D280" s="409">
        <v>20000</v>
      </c>
      <c r="E280" s="409">
        <v>0</v>
      </c>
      <c r="F280" s="283">
        <f t="shared" si="92"/>
        <v>0</v>
      </c>
      <c r="G280" s="253">
        <f t="shared" si="93"/>
        <v>0</v>
      </c>
      <c r="H280" s="404">
        <f t="shared" si="94"/>
        <v>-20000</v>
      </c>
      <c r="I280" s="69"/>
      <c r="J280" s="88"/>
      <c r="K280" s="27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32.25" customHeight="1">
      <c r="A281" s="268">
        <v>8000</v>
      </c>
      <c r="B281" s="410" t="s">
        <v>285</v>
      </c>
      <c r="C281" s="582">
        <f>C282</f>
        <v>18660</v>
      </c>
      <c r="D281" s="582">
        <f>D282</f>
        <v>10366</v>
      </c>
      <c r="E281" s="582">
        <f>E282</f>
        <v>0</v>
      </c>
      <c r="F281" s="505">
        <f t="shared" si="92"/>
        <v>0</v>
      </c>
      <c r="G281" s="506">
        <f t="shared" si="93"/>
        <v>0</v>
      </c>
      <c r="H281" s="507">
        <f t="shared" si="94"/>
        <v>-10366</v>
      </c>
      <c r="I281" s="106">
        <f>I282</f>
        <v>0</v>
      </c>
      <c r="J281" s="88">
        <f t="shared" si="95"/>
        <v>0</v>
      </c>
      <c r="K281" s="27" t="e">
        <f t="shared" si="97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12" customFormat="1" ht="32.25" customHeight="1">
      <c r="A282" s="269" t="s">
        <v>49</v>
      </c>
      <c r="B282" s="405" t="s">
        <v>50</v>
      </c>
      <c r="C282" s="409">
        <v>18660</v>
      </c>
      <c r="D282" s="409">
        <v>10366</v>
      </c>
      <c r="E282" s="409">
        <v>0</v>
      </c>
      <c r="F282" s="283">
        <f t="shared" si="92"/>
        <v>0</v>
      </c>
      <c r="G282" s="253">
        <f t="shared" si="93"/>
        <v>0</v>
      </c>
      <c r="H282" s="404">
        <f t="shared" si="94"/>
        <v>-10366</v>
      </c>
      <c r="I282" s="69"/>
      <c r="J282" s="88">
        <f t="shared" si="95"/>
        <v>0</v>
      </c>
      <c r="K282" s="27" t="e">
        <f t="shared" si="97"/>
        <v>#DIV/0!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s="12" customFormat="1" ht="47.45" customHeight="1" thickBot="1">
      <c r="A283" s="231">
        <v>9800</v>
      </c>
      <c r="B283" s="324" t="s">
        <v>27</v>
      </c>
      <c r="C283" s="584">
        <v>60000</v>
      </c>
      <c r="D283" s="584">
        <v>60000</v>
      </c>
      <c r="E283" s="584">
        <v>60000</v>
      </c>
      <c r="F283" s="505">
        <f>IF(C283=0,"",E283/C283*100)</f>
        <v>100</v>
      </c>
      <c r="G283" s="506">
        <f>IF(D283=0,"",E283/D283*100)</f>
        <v>100</v>
      </c>
      <c r="H283" s="414">
        <f>E283-D283</f>
        <v>0</v>
      </c>
      <c r="I283" s="196"/>
      <c r="J283" s="87">
        <f t="shared" si="95"/>
        <v>60000</v>
      </c>
      <c r="K283" s="71" t="e">
        <f t="shared" si="97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60" customFormat="1" ht="24" customHeight="1" thickBot="1">
      <c r="A284" s="586" t="s">
        <v>10</v>
      </c>
      <c r="B284" s="508" t="s">
        <v>0</v>
      </c>
      <c r="C284" s="418">
        <f>SUM(C229+C235+C243+C253+C261+C265+C281+C283)</f>
        <v>2112744</v>
      </c>
      <c r="D284" s="418">
        <f>SUM(D229+D235+D243+D253+D261+D265+D281+D283)</f>
        <v>2074450</v>
      </c>
      <c r="E284" s="418">
        <f>SUM(E229+E235+E243+E253+E261+E265+E281+E283)</f>
        <v>419666</v>
      </c>
      <c r="F284" s="284">
        <f>IF(C284=0,"",E284/C284*100)</f>
        <v>19.863551854839017</v>
      </c>
      <c r="G284" s="311">
        <f t="shared" si="93"/>
        <v>20.230229699438404</v>
      </c>
      <c r="H284" s="418">
        <f>SUM(H229+H235+H243+H267+H275+H281)</f>
        <v>-1382784</v>
      </c>
      <c r="I284" s="107">
        <f>I229+I235+I246+I249+I253+I258+I261+I265+I267+I275+I277+I281+I283</f>
        <v>0</v>
      </c>
      <c r="J284" s="261">
        <f t="shared" si="95"/>
        <v>419666</v>
      </c>
      <c r="K284" s="262" t="e">
        <f t="shared" si="97"/>
        <v>#DIV/0!</v>
      </c>
      <c r="L284" s="61"/>
      <c r="M284" s="61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</row>
    <row r="285" spans="1:25" s="12" customFormat="1" ht="20.25" hidden="1" customHeight="1" thickBot="1">
      <c r="A285" s="585" t="s">
        <v>40</v>
      </c>
      <c r="B285" s="509" t="s">
        <v>27</v>
      </c>
      <c r="C285" s="419"/>
      <c r="D285" s="413"/>
      <c r="E285" s="419"/>
      <c r="F285" s="284" t="str">
        <f>IF(C285=0,"",E285/C285*100)</f>
        <v/>
      </c>
      <c r="G285" s="311" t="str">
        <f t="shared" si="93"/>
        <v/>
      </c>
      <c r="H285" s="420">
        <f t="shared" si="94"/>
        <v>0</v>
      </c>
      <c r="I285" s="77"/>
      <c r="J285" s="263">
        <f t="shared" si="95"/>
        <v>0</v>
      </c>
      <c r="K285" s="27" t="e">
        <f t="shared" si="97"/>
        <v>#DIV/0!</v>
      </c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s="18" customFormat="1" ht="21.75" customHeight="1" thickBot="1">
      <c r="A286" s="139" t="s">
        <v>22</v>
      </c>
      <c r="B286" s="510" t="s">
        <v>14</v>
      </c>
      <c r="C286" s="421">
        <f>C284+C285</f>
        <v>2112744</v>
      </c>
      <c r="D286" s="422">
        <f t="shared" ref="D286:I286" si="98">D284+D285</f>
        <v>2074450</v>
      </c>
      <c r="E286" s="421">
        <f>E284+E285</f>
        <v>419666</v>
      </c>
      <c r="F286" s="285">
        <f>IF(C286=0,"",E286/C286*100)</f>
        <v>19.863551854839017</v>
      </c>
      <c r="G286" s="312">
        <f t="shared" si="93"/>
        <v>20.230229699438404</v>
      </c>
      <c r="H286" s="421">
        <f t="shared" si="98"/>
        <v>-1382784</v>
      </c>
      <c r="I286" s="57">
        <f t="shared" si="98"/>
        <v>0</v>
      </c>
      <c r="J286" s="264">
        <f t="shared" si="95"/>
        <v>419666</v>
      </c>
      <c r="K286" s="265" t="e">
        <f t="shared" si="97"/>
        <v>#DIV/0!</v>
      </c>
      <c r="L286" s="58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s="18" customFormat="1" ht="21.75" customHeight="1" thickBot="1">
      <c r="A287" s="497" t="s">
        <v>24</v>
      </c>
      <c r="B287" s="597" t="s">
        <v>21</v>
      </c>
      <c r="C287" s="598">
        <v>416376</v>
      </c>
      <c r="D287" s="511">
        <v>354295</v>
      </c>
      <c r="E287" s="512">
        <v>0</v>
      </c>
      <c r="F287" s="513">
        <f>IF(C287=0,"",E287/C287*100)</f>
        <v>0</v>
      </c>
      <c r="G287" s="514">
        <f t="shared" si="93"/>
        <v>0</v>
      </c>
      <c r="H287" s="599">
        <f t="shared" si="94"/>
        <v>-354295</v>
      </c>
      <c r="I287" s="57"/>
      <c r="J287" s="297">
        <f t="shared" si="95"/>
        <v>0</v>
      </c>
      <c r="K287" s="298" t="e">
        <f t="shared" si="97"/>
        <v>#DIV/0!</v>
      </c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ht="19.5" hidden="1" customHeight="1">
      <c r="B288" s="423" t="s">
        <v>7</v>
      </c>
      <c r="C288" s="424"/>
      <c r="D288" s="425"/>
      <c r="E288" s="424"/>
      <c r="F288" s="314"/>
      <c r="G288" s="313" t="str">
        <f t="shared" si="93"/>
        <v/>
      </c>
      <c r="H288" s="425"/>
      <c r="I288" s="230"/>
      <c r="J288" s="266"/>
      <c r="K288" s="267"/>
    </row>
    <row r="289" spans="1:25" s="12" customFormat="1" ht="54.75" hidden="1" customHeight="1">
      <c r="A289" s="139" t="s">
        <v>58</v>
      </c>
      <c r="B289" s="426" t="s">
        <v>57</v>
      </c>
      <c r="C289" s="390"/>
      <c r="D289" s="404"/>
      <c r="E289" s="390">
        <v>0</v>
      </c>
      <c r="F289" s="278" t="str">
        <f>IF(C289=0,"",E289/C289*100)</f>
        <v/>
      </c>
      <c r="G289" s="253" t="str">
        <f>IF(D289=0,"",E289/D289*100)</f>
        <v/>
      </c>
      <c r="H289" s="404">
        <f>E289-D289</f>
        <v>0</v>
      </c>
      <c r="I289" s="54"/>
      <c r="J289" s="266">
        <f>E289-I289</f>
        <v>0</v>
      </c>
      <c r="K289" s="267" t="e">
        <f>E289/I289*100-100</f>
        <v>#DIV/0!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s="60" customFormat="1" ht="20.25" hidden="1" customHeight="1" thickBot="1">
      <c r="A290" s="206" t="s">
        <v>10</v>
      </c>
      <c r="B290" s="427" t="s">
        <v>6</v>
      </c>
      <c r="C290" s="428">
        <f>C289</f>
        <v>0</v>
      </c>
      <c r="D290" s="428">
        <f t="shared" ref="D290:K290" si="99">D289</f>
        <v>0</v>
      </c>
      <c r="E290" s="428">
        <f t="shared" si="99"/>
        <v>0</v>
      </c>
      <c r="F290" s="315" t="str">
        <f t="shared" si="99"/>
        <v/>
      </c>
      <c r="G290" s="315" t="str">
        <f t="shared" si="99"/>
        <v/>
      </c>
      <c r="H290" s="428">
        <f t="shared" si="99"/>
        <v>0</v>
      </c>
      <c r="I290" s="105">
        <f t="shared" si="99"/>
        <v>0</v>
      </c>
      <c r="J290" s="105">
        <f t="shared" si="99"/>
        <v>0</v>
      </c>
      <c r="K290" s="105" t="e">
        <f t="shared" si="99"/>
        <v>#DIV/0!</v>
      </c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</row>
    <row r="291" spans="1:25" ht="15" hidden="1" customHeight="1">
      <c r="A291" s="139"/>
      <c r="B291" s="429"/>
      <c r="C291" s="430"/>
      <c r="D291" s="431"/>
      <c r="E291" s="430"/>
      <c r="F291" s="316"/>
      <c r="G291" s="317" t="str">
        <f>IF(D291=0,"",E291/D291*100)</f>
        <v/>
      </c>
      <c r="H291" s="431"/>
      <c r="I291" s="78"/>
      <c r="J291" s="93"/>
      <c r="K291" s="79"/>
    </row>
    <row r="292" spans="1:25" ht="15" customHeight="1">
      <c r="A292" s="139"/>
      <c r="B292" s="429"/>
      <c r="C292" s="430"/>
      <c r="D292" s="592"/>
      <c r="E292" s="430"/>
      <c r="F292" s="316"/>
      <c r="G292" s="317"/>
      <c r="H292" s="431"/>
      <c r="I292" s="78"/>
      <c r="J292" s="93"/>
      <c r="K292" s="79"/>
    </row>
    <row r="293" spans="1:25" s="8" customFormat="1" ht="20.25" customHeight="1">
      <c r="A293" s="206" t="s">
        <v>235</v>
      </c>
      <c r="B293" s="484" t="s">
        <v>5</v>
      </c>
      <c r="C293" s="436">
        <f>C90+C227</f>
        <v>68587356</v>
      </c>
      <c r="D293" s="436">
        <f>D90+D227</f>
        <v>31374755</v>
      </c>
      <c r="E293" s="436">
        <f>E90+E227</f>
        <v>31242593.034000002</v>
      </c>
      <c r="F293" s="320">
        <f t="shared" ref="F293:F304" si="100">IF(C293=0,"",E293/C293*100)</f>
        <v>45.551534358606858</v>
      </c>
      <c r="G293" s="321">
        <f t="shared" ref="G293:G304" si="101">IF(D293=0,"",E293/D293*100)</f>
        <v>99.57876335289312</v>
      </c>
      <c r="H293" s="437">
        <f t="shared" ref="H293:H304" si="102">E293-D293</f>
        <v>-132161.96599999815</v>
      </c>
      <c r="I293" s="101" t="e">
        <f>I90+I227</f>
        <v>#REF!</v>
      </c>
      <c r="J293" s="90" t="e">
        <f t="shared" ref="J293:J314" si="103">E293-I293</f>
        <v>#REF!</v>
      </c>
      <c r="K293" s="46" t="e">
        <f t="shared" ref="K293:K311" si="104">E293/I293*100-100</f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8" customFormat="1" ht="20.25" customHeight="1">
      <c r="A294" s="139"/>
      <c r="B294" s="432" t="s">
        <v>29</v>
      </c>
      <c r="C294" s="433">
        <f>C73+C224</f>
        <v>37900826</v>
      </c>
      <c r="D294" s="433">
        <f>D73+D224</f>
        <v>13572344</v>
      </c>
      <c r="E294" s="433">
        <f>E73+E224</f>
        <v>13445100.034</v>
      </c>
      <c r="F294" s="318">
        <f t="shared" si="100"/>
        <v>35.474424842350402</v>
      </c>
      <c r="G294" s="319">
        <f t="shared" si="101"/>
        <v>99.062476120558102</v>
      </c>
      <c r="H294" s="434">
        <f t="shared" si="102"/>
        <v>-127243.96600000001</v>
      </c>
      <c r="I294" s="100">
        <f>I73+I224</f>
        <v>127077.906</v>
      </c>
      <c r="J294" s="95">
        <f t="shared" si="103"/>
        <v>13318022.128</v>
      </c>
      <c r="K294" s="28">
        <f t="shared" si="104"/>
        <v>10480.202693928557</v>
      </c>
      <c r="L294" s="7"/>
      <c r="M294" s="4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s="8" customFormat="1" ht="20.25" customHeight="1">
      <c r="A295" s="139"/>
      <c r="B295" s="432" t="s">
        <v>59</v>
      </c>
      <c r="C295" s="433">
        <f>C74+C215</f>
        <v>30686530</v>
      </c>
      <c r="D295" s="433">
        <f>D74+D215</f>
        <v>17802411</v>
      </c>
      <c r="E295" s="433">
        <f>E74+E215</f>
        <v>17797493</v>
      </c>
      <c r="F295" s="318">
        <f t="shared" si="100"/>
        <v>57.997737117882018</v>
      </c>
      <c r="G295" s="319">
        <f t="shared" si="101"/>
        <v>99.972374528371461</v>
      </c>
      <c r="H295" s="434">
        <f t="shared" si="102"/>
        <v>-4918</v>
      </c>
      <c r="I295" s="100" t="e">
        <f>I74</f>
        <v>#REF!</v>
      </c>
      <c r="J295" s="95" t="e">
        <f t="shared" si="103"/>
        <v>#REF!</v>
      </c>
      <c r="K295" s="28" t="e">
        <f t="shared" si="104"/>
        <v>#REF!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64" customFormat="1" ht="16.5" customHeight="1">
      <c r="A296" s="206" t="s">
        <v>235</v>
      </c>
      <c r="B296" s="435" t="s">
        <v>4</v>
      </c>
      <c r="C296" s="436">
        <f>SUM(C297:C314)</f>
        <v>73151780</v>
      </c>
      <c r="D296" s="436">
        <f>SUM(D297:D314)</f>
        <v>47453117</v>
      </c>
      <c r="E296" s="436">
        <f>SUM(E297:E314)</f>
        <v>30270833</v>
      </c>
      <c r="F296" s="320">
        <f t="shared" si="100"/>
        <v>41.380856351000617</v>
      </c>
      <c r="G296" s="321">
        <f t="shared" si="101"/>
        <v>63.791031893647784</v>
      </c>
      <c r="H296" s="437">
        <f t="shared" si="102"/>
        <v>-17182284</v>
      </c>
      <c r="I296" s="108" t="e">
        <f>SUM(I297:I314)</f>
        <v>#REF!</v>
      </c>
      <c r="J296" s="94" t="e">
        <f t="shared" si="103"/>
        <v>#REF!</v>
      </c>
      <c r="K296" s="80" t="e">
        <f t="shared" si="104"/>
        <v>#REF!</v>
      </c>
      <c r="L296" s="62"/>
      <c r="M296" s="63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</row>
    <row r="297" spans="1:25" s="8" customFormat="1" ht="16.5" customHeight="1">
      <c r="A297" s="268" t="s">
        <v>30</v>
      </c>
      <c r="B297" s="410" t="s">
        <v>140</v>
      </c>
      <c r="C297" s="438">
        <f>C93+C229</f>
        <v>11777787</v>
      </c>
      <c r="D297" s="438">
        <f>D93+D229</f>
        <v>6750576</v>
      </c>
      <c r="E297" s="659">
        <f>E93+E229</f>
        <v>3973193</v>
      </c>
      <c r="F297" s="318">
        <f t="shared" si="100"/>
        <v>33.734631132317134</v>
      </c>
      <c r="G297" s="319">
        <f t="shared" si="101"/>
        <v>58.857096046322567</v>
      </c>
      <c r="H297" s="434">
        <f t="shared" si="102"/>
        <v>-2777383</v>
      </c>
      <c r="I297" s="99">
        <f>I93+I229</f>
        <v>0</v>
      </c>
      <c r="J297" s="95">
        <f t="shared" si="103"/>
        <v>3973193</v>
      </c>
      <c r="K297" s="28" t="e">
        <f t="shared" si="104"/>
        <v>#DIV/0!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6.5" customHeight="1">
      <c r="A298" s="213" t="s">
        <v>31</v>
      </c>
      <c r="B298" s="439" t="s">
        <v>147</v>
      </c>
      <c r="C298" s="438">
        <f>C98+C235</f>
        <v>44502626</v>
      </c>
      <c r="D298" s="438">
        <f>D98+D235</f>
        <v>28414973</v>
      </c>
      <c r="E298" s="659">
        <f>E98+E235</f>
        <v>20626227</v>
      </c>
      <c r="F298" s="318">
        <f t="shared" si="100"/>
        <v>46.348336837471123</v>
      </c>
      <c r="G298" s="319">
        <f t="shared" si="101"/>
        <v>72.589289456653717</v>
      </c>
      <c r="H298" s="434">
        <f t="shared" si="102"/>
        <v>-7788746</v>
      </c>
      <c r="I298" s="99">
        <f>I98+I235</f>
        <v>0</v>
      </c>
      <c r="J298" s="95">
        <f t="shared" si="103"/>
        <v>20626227</v>
      </c>
      <c r="K298" s="28" t="e">
        <f t="shared" si="104"/>
        <v>#DIV/0!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6.5" customHeight="1">
      <c r="A299" s="231" t="s">
        <v>32</v>
      </c>
      <c r="B299" s="324" t="s">
        <v>151</v>
      </c>
      <c r="C299" s="438">
        <f>C111+C243</f>
        <v>1575946</v>
      </c>
      <c r="D299" s="438">
        <f>D111+D243</f>
        <v>1575946</v>
      </c>
      <c r="E299" s="659">
        <f>E111+E243</f>
        <v>462885</v>
      </c>
      <c r="F299" s="318">
        <f t="shared" si="100"/>
        <v>29.371882031490927</v>
      </c>
      <c r="G299" s="319">
        <f t="shared" si="101"/>
        <v>29.371882031490927</v>
      </c>
      <c r="H299" s="434">
        <f t="shared" si="102"/>
        <v>-1113061</v>
      </c>
      <c r="I299" s="99" t="e">
        <f>I111+I246</f>
        <v>#REF!</v>
      </c>
      <c r="J299" s="95" t="e">
        <f t="shared" si="103"/>
        <v>#REF!</v>
      </c>
      <c r="K299" s="28" t="e">
        <f t="shared" si="104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8" customHeight="1">
      <c r="A300" s="268" t="s">
        <v>33</v>
      </c>
      <c r="B300" s="410" t="s">
        <v>42</v>
      </c>
      <c r="C300" s="438">
        <f>C113</f>
        <v>2171102</v>
      </c>
      <c r="D300" s="438">
        <f>D113</f>
        <v>1404122</v>
      </c>
      <c r="E300" s="659">
        <f>E113</f>
        <v>950539</v>
      </c>
      <c r="F300" s="318">
        <f t="shared" si="100"/>
        <v>43.781406861584578</v>
      </c>
      <c r="G300" s="319">
        <f t="shared" si="101"/>
        <v>67.696325532966512</v>
      </c>
      <c r="H300" s="434">
        <f t="shared" si="102"/>
        <v>-453583</v>
      </c>
      <c r="I300" s="99" t="e">
        <f>I113+I249</f>
        <v>#REF!</v>
      </c>
      <c r="J300" s="95" t="e">
        <f t="shared" si="103"/>
        <v>#REF!</v>
      </c>
      <c r="K300" s="28" t="e">
        <f t="shared" si="104"/>
        <v>#REF!</v>
      </c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8" customHeight="1">
      <c r="A301" s="268" t="s">
        <v>34</v>
      </c>
      <c r="B301" s="410" t="s">
        <v>157</v>
      </c>
      <c r="C301" s="438">
        <f>C120+C253</f>
        <v>4306955</v>
      </c>
      <c r="D301" s="438">
        <f>D120+D253</f>
        <v>2481224</v>
      </c>
      <c r="E301" s="659">
        <f>E120+E253</f>
        <v>1620863</v>
      </c>
      <c r="F301" s="318">
        <f t="shared" si="100"/>
        <v>37.633618182683584</v>
      </c>
      <c r="G301" s="319">
        <f t="shared" si="101"/>
        <v>65.325137915802841</v>
      </c>
      <c r="H301" s="434">
        <f t="shared" si="102"/>
        <v>-860361</v>
      </c>
      <c r="I301" s="99" t="e">
        <f>I120+I253</f>
        <v>#REF!</v>
      </c>
      <c r="J301" s="95" t="e">
        <f t="shared" si="103"/>
        <v>#REF!</v>
      </c>
      <c r="K301" s="28" t="e">
        <f t="shared" si="104"/>
        <v>#REF!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16.5" customHeight="1">
      <c r="A302" s="268" t="s">
        <v>35</v>
      </c>
      <c r="B302" s="410" t="s">
        <v>164</v>
      </c>
      <c r="C302" s="438">
        <f>C124</f>
        <v>40000</v>
      </c>
      <c r="D302" s="438">
        <f>D124</f>
        <v>40000</v>
      </c>
      <c r="E302" s="659">
        <f>E124</f>
        <v>0</v>
      </c>
      <c r="F302" s="318">
        <f t="shared" si="100"/>
        <v>0</v>
      </c>
      <c r="G302" s="319">
        <f t="shared" si="101"/>
        <v>0</v>
      </c>
      <c r="H302" s="434">
        <f t="shared" si="102"/>
        <v>-40000</v>
      </c>
      <c r="I302" s="99" t="e">
        <f>I124+I258</f>
        <v>#REF!</v>
      </c>
      <c r="J302" s="95" t="e">
        <f t="shared" si="103"/>
        <v>#REF!</v>
      </c>
      <c r="K302" s="28"/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16.5" customHeight="1">
      <c r="A303" s="268" t="s">
        <v>25</v>
      </c>
      <c r="B303" s="410" t="s">
        <v>170</v>
      </c>
      <c r="C303" s="438">
        <f>C127+C261</f>
        <v>3892667</v>
      </c>
      <c r="D303" s="438">
        <f>D127+D261</f>
        <v>2753873</v>
      </c>
      <c r="E303" s="659">
        <f>E127+E261</f>
        <v>1409305</v>
      </c>
      <c r="F303" s="318">
        <f t="shared" si="100"/>
        <v>36.20409862955141</v>
      </c>
      <c r="G303" s="319">
        <f t="shared" si="101"/>
        <v>51.17538099977741</v>
      </c>
      <c r="H303" s="434">
        <f t="shared" si="102"/>
        <v>-1344568</v>
      </c>
      <c r="I303" s="99">
        <f>I127+I261</f>
        <v>0</v>
      </c>
      <c r="J303" s="95">
        <f t="shared" si="103"/>
        <v>1409305</v>
      </c>
      <c r="K303" s="28" t="e">
        <f t="shared" si="104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21" customHeight="1">
      <c r="A304" s="268">
        <v>7000</v>
      </c>
      <c r="B304" s="410" t="s">
        <v>269</v>
      </c>
      <c r="C304" s="438">
        <f>C133+C265</f>
        <v>860037</v>
      </c>
      <c r="D304" s="438">
        <f>D133+D265</f>
        <v>830037</v>
      </c>
      <c r="E304" s="659">
        <f>E133+E265</f>
        <v>0</v>
      </c>
      <c r="F304" s="318">
        <f t="shared" si="100"/>
        <v>0</v>
      </c>
      <c r="G304" s="319">
        <f t="shared" si="101"/>
        <v>0</v>
      </c>
      <c r="H304" s="434">
        <f t="shared" si="102"/>
        <v>-830037</v>
      </c>
      <c r="I304" s="99">
        <f>I133+I265</f>
        <v>0</v>
      </c>
      <c r="J304" s="95">
        <f t="shared" si="103"/>
        <v>0</v>
      </c>
      <c r="K304" s="28" t="e">
        <f t="shared" si="104"/>
        <v>#DIV/0!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0.75" hidden="1" customHeight="1">
      <c r="A305" s="268"/>
      <c r="B305" s="410"/>
      <c r="C305" s="438"/>
      <c r="D305" s="438"/>
      <c r="E305" s="659"/>
      <c r="F305" s="318"/>
      <c r="G305" s="319"/>
      <c r="H305" s="434"/>
      <c r="I305" s="99">
        <f>I135+I267</f>
        <v>0</v>
      </c>
      <c r="J305" s="95">
        <f t="shared" si="103"/>
        <v>0</v>
      </c>
      <c r="K305" s="28" t="e">
        <f t="shared" si="104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42" hidden="1" customHeight="1">
      <c r="A306" s="268"/>
      <c r="B306" s="410"/>
      <c r="C306" s="438"/>
      <c r="D306" s="438"/>
      <c r="E306" s="659"/>
      <c r="F306" s="318"/>
      <c r="G306" s="319"/>
      <c r="H306" s="434"/>
      <c r="I306" s="99" t="e">
        <f>#REF!+I275</f>
        <v>#REF!</v>
      </c>
      <c r="J306" s="95" t="e">
        <f t="shared" si="103"/>
        <v>#REF!</v>
      </c>
      <c r="K306" s="28" t="e">
        <f t="shared" si="104"/>
        <v>#REF!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35.25" hidden="1" customHeight="1">
      <c r="A307" s="231"/>
      <c r="B307" s="324"/>
      <c r="C307" s="438"/>
      <c r="D307" s="438"/>
      <c r="E307" s="659"/>
      <c r="F307" s="318"/>
      <c r="G307" s="319"/>
      <c r="H307" s="434"/>
      <c r="I307" s="99">
        <f>I140+I277</f>
        <v>0</v>
      </c>
      <c r="J307" s="95">
        <f t="shared" si="103"/>
        <v>0</v>
      </c>
      <c r="K307" s="28" t="e">
        <f t="shared" si="104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customHeight="1">
      <c r="A308" s="231">
        <v>8000</v>
      </c>
      <c r="B308" s="324" t="s">
        <v>285</v>
      </c>
      <c r="C308" s="438">
        <f>SUM(C144+C281)</f>
        <v>2574660</v>
      </c>
      <c r="D308" s="438">
        <f t="shared" ref="D308:E308" si="105">SUM(D144+D281)</f>
        <v>1752366</v>
      </c>
      <c r="E308" s="659">
        <f>SUM(E144+E281)</f>
        <v>977821</v>
      </c>
      <c r="F308" s="318">
        <f>IF(C308=0,"",E308/C308*100)</f>
        <v>37.978645724095614</v>
      </c>
      <c r="G308" s="319">
        <f>IF(D308=0,"",E308/D308*100)</f>
        <v>55.800044054723728</v>
      </c>
      <c r="H308" s="434">
        <f t="shared" ref="H308:H316" si="106">E308-D308</f>
        <v>-774545</v>
      </c>
      <c r="I308" s="99">
        <f>I144</f>
        <v>0</v>
      </c>
      <c r="J308" s="95">
        <f>E308-I308</f>
        <v>977821</v>
      </c>
      <c r="K308" s="28" t="e">
        <f>E308/I308*100-100</f>
        <v>#DIV/0!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18" hidden="1" customHeight="1">
      <c r="A309" s="231" t="s">
        <v>48</v>
      </c>
      <c r="B309" s="410" t="s">
        <v>207</v>
      </c>
      <c r="C309" s="438">
        <v>0</v>
      </c>
      <c r="D309" s="438">
        <v>0</v>
      </c>
      <c r="E309" s="659">
        <f>E281</f>
        <v>0</v>
      </c>
      <c r="F309" s="318" t="str">
        <f t="shared" ref="F309:F316" si="107">IF(C309=0,"",E309/C309*100)</f>
        <v/>
      </c>
      <c r="G309" s="319" t="str">
        <f t="shared" ref="G309:G318" si="108">IF(D309=0,"",E309/D309*100)</f>
        <v/>
      </c>
      <c r="H309" s="434">
        <f t="shared" si="106"/>
        <v>0</v>
      </c>
      <c r="I309" s="99">
        <f>I281</f>
        <v>0</v>
      </c>
      <c r="J309" s="95">
        <f t="shared" si="103"/>
        <v>0</v>
      </c>
      <c r="K309" s="28" t="e">
        <f t="shared" si="104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22.5" hidden="1" customHeight="1">
      <c r="A310" s="231" t="s">
        <v>187</v>
      </c>
      <c r="B310" s="324" t="s">
        <v>45</v>
      </c>
      <c r="C310" s="438">
        <f t="shared" ref="C310:E311" si="109">C146</f>
        <v>600000</v>
      </c>
      <c r="D310" s="438">
        <f t="shared" si="109"/>
        <v>600000</v>
      </c>
      <c r="E310" s="659">
        <f t="shared" si="109"/>
        <v>0</v>
      </c>
      <c r="F310" s="318">
        <f t="shared" si="107"/>
        <v>0</v>
      </c>
      <c r="G310" s="319">
        <f t="shared" si="108"/>
        <v>0</v>
      </c>
      <c r="H310" s="434">
        <f t="shared" si="106"/>
        <v>-600000</v>
      </c>
      <c r="I310" s="99">
        <f>I146</f>
        <v>0</v>
      </c>
      <c r="J310" s="95">
        <f t="shared" si="103"/>
        <v>0</v>
      </c>
      <c r="K310" s="28">
        <v>0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4.75" hidden="1" customHeight="1">
      <c r="A311" s="231" t="s">
        <v>188</v>
      </c>
      <c r="B311" s="324" t="s">
        <v>189</v>
      </c>
      <c r="C311" s="438">
        <f t="shared" si="109"/>
        <v>600000</v>
      </c>
      <c r="D311" s="438">
        <f t="shared" si="109"/>
        <v>600000</v>
      </c>
      <c r="E311" s="659">
        <f t="shared" si="109"/>
        <v>0</v>
      </c>
      <c r="F311" s="318">
        <f t="shared" si="107"/>
        <v>0</v>
      </c>
      <c r="G311" s="319">
        <f t="shared" si="108"/>
        <v>0</v>
      </c>
      <c r="H311" s="434">
        <f t="shared" si="106"/>
        <v>-600000</v>
      </c>
      <c r="I311" s="99">
        <f>I147</f>
        <v>0</v>
      </c>
      <c r="J311" s="95">
        <f t="shared" si="103"/>
        <v>0</v>
      </c>
      <c r="K311" s="28" t="e">
        <f t="shared" si="104"/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31.5" hidden="1" customHeight="1">
      <c r="A312" s="231" t="s">
        <v>192</v>
      </c>
      <c r="B312" s="324" t="s">
        <v>195</v>
      </c>
      <c r="C312" s="438">
        <f>C150</f>
        <v>0</v>
      </c>
      <c r="D312" s="438">
        <f>D150</f>
        <v>0</v>
      </c>
      <c r="E312" s="659">
        <f>E150</f>
        <v>0</v>
      </c>
      <c r="F312" s="318" t="str">
        <f t="shared" si="107"/>
        <v/>
      </c>
      <c r="G312" s="319" t="str">
        <f t="shared" si="108"/>
        <v/>
      </c>
      <c r="H312" s="434">
        <f t="shared" si="106"/>
        <v>0</v>
      </c>
      <c r="I312" s="99">
        <f>I150</f>
        <v>0</v>
      </c>
      <c r="J312" s="95">
        <f t="shared" si="103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1" customHeight="1">
      <c r="A313" s="231">
        <v>9000</v>
      </c>
      <c r="B313" s="324" t="s">
        <v>308</v>
      </c>
      <c r="C313" s="438">
        <f>C149+C283</f>
        <v>250000</v>
      </c>
      <c r="D313" s="438">
        <f t="shared" ref="D313:E313" si="110">D149+D283</f>
        <v>250000</v>
      </c>
      <c r="E313" s="659">
        <f>E149+E283</f>
        <v>250000</v>
      </c>
      <c r="F313" s="318">
        <f t="shared" si="107"/>
        <v>100</v>
      </c>
      <c r="G313" s="319">
        <f t="shared" si="108"/>
        <v>100</v>
      </c>
      <c r="H313" s="434">
        <f t="shared" si="106"/>
        <v>0</v>
      </c>
      <c r="I313" s="99">
        <f>I151+I283</f>
        <v>0</v>
      </c>
      <c r="J313" s="95">
        <f t="shared" si="103"/>
        <v>250000</v>
      </c>
      <c r="K313" s="28" t="e">
        <f>E313/I313*100-100</f>
        <v>#DIV/0!</v>
      </c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8" customFormat="1" ht="27" hidden="1" customHeight="1">
      <c r="A314" s="231"/>
      <c r="B314" s="324"/>
      <c r="C314" s="438"/>
      <c r="D314" s="438"/>
      <c r="E314" s="438"/>
      <c r="F314" s="318" t="str">
        <f t="shared" si="107"/>
        <v/>
      </c>
      <c r="G314" s="319" t="str">
        <f t="shared" si="108"/>
        <v/>
      </c>
      <c r="H314" s="434">
        <f t="shared" si="106"/>
        <v>0</v>
      </c>
      <c r="I314" s="99">
        <f>I152</f>
        <v>0</v>
      </c>
      <c r="J314" s="95">
        <f t="shared" si="103"/>
        <v>0</v>
      </c>
      <c r="K314" s="28" t="e">
        <f>E314/I314*100-100</f>
        <v>#DIV/0!</v>
      </c>
      <c r="L314" s="7"/>
      <c r="M314" s="4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s="8" customFormat="1" ht="23.25" customHeight="1">
      <c r="A315" s="139"/>
      <c r="B315" s="440" t="s">
        <v>17</v>
      </c>
      <c r="C315" s="393">
        <f>C290</f>
        <v>0</v>
      </c>
      <c r="D315" s="393">
        <f>D290</f>
        <v>0</v>
      </c>
      <c r="E315" s="393">
        <f>E290</f>
        <v>0</v>
      </c>
      <c r="F315" s="318" t="str">
        <f t="shared" si="107"/>
        <v/>
      </c>
      <c r="G315" s="319" t="str">
        <f t="shared" si="108"/>
        <v/>
      </c>
      <c r="H315" s="441">
        <f t="shared" si="106"/>
        <v>0</v>
      </c>
      <c r="I315" s="101">
        <f>I290</f>
        <v>0</v>
      </c>
      <c r="J315" s="96">
        <f>E315-I315</f>
        <v>0</v>
      </c>
      <c r="K315" s="47"/>
      <c r="L315" s="7"/>
      <c r="M315" s="4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64" customFormat="1" ht="33.75" customHeight="1">
      <c r="A316" s="488" t="s">
        <v>235</v>
      </c>
      <c r="B316" s="654" t="s">
        <v>11</v>
      </c>
      <c r="C316" s="490">
        <f>C315+C296</f>
        <v>73151780</v>
      </c>
      <c r="D316" s="490">
        <f>D296+D315</f>
        <v>47453117</v>
      </c>
      <c r="E316" s="490">
        <f>E296+E315</f>
        <v>30270833</v>
      </c>
      <c r="F316" s="491">
        <f t="shared" si="107"/>
        <v>41.380856351000617</v>
      </c>
      <c r="G316" s="492">
        <f t="shared" si="108"/>
        <v>63.791031893647784</v>
      </c>
      <c r="H316" s="493">
        <f t="shared" si="106"/>
        <v>-17182284</v>
      </c>
      <c r="I316" s="81" t="e">
        <f>I296+I315</f>
        <v>#REF!</v>
      </c>
      <c r="J316" s="94" t="e">
        <f>E316-I316</f>
        <v>#REF!</v>
      </c>
      <c r="K316" s="80" t="e">
        <f>E316/I316*100-100</f>
        <v>#REF!</v>
      </c>
      <c r="L316" s="62"/>
      <c r="M316" s="63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</row>
    <row r="317" spans="1:25" s="8" customFormat="1" ht="10.5" hidden="1" customHeight="1" thickBot="1">
      <c r="A317" s="139"/>
      <c r="B317" s="442"/>
      <c r="C317" s="443"/>
      <c r="D317" s="443"/>
      <c r="E317" s="417"/>
      <c r="F317" s="290"/>
      <c r="G317" s="322" t="str">
        <f t="shared" si="108"/>
        <v/>
      </c>
      <c r="H317" s="445"/>
      <c r="I317" s="82"/>
      <c r="J317" s="97"/>
      <c r="K317" s="83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s="8" customFormat="1" ht="33.75" customHeight="1">
      <c r="A318" s="487" t="s">
        <v>16</v>
      </c>
      <c r="B318" s="446" t="s">
        <v>28</v>
      </c>
      <c r="C318" s="393">
        <f>SUM(C287-C276)</f>
        <v>354295</v>
      </c>
      <c r="D318" s="393">
        <f>SUM(D287-D276)</f>
        <v>322214</v>
      </c>
      <c r="E318" s="393">
        <f>SUM(E287-E276)</f>
        <v>0</v>
      </c>
      <c r="F318" s="290">
        <f>IF(C318=0,"",E318/C318*100)</f>
        <v>0</v>
      </c>
      <c r="G318" s="255">
        <f t="shared" si="108"/>
        <v>0</v>
      </c>
      <c r="H318" s="411">
        <f>E318-D318</f>
        <v>-322214</v>
      </c>
      <c r="I318" s="101"/>
      <c r="J318" s="98">
        <f>E318-I318</f>
        <v>0</v>
      </c>
      <c r="K318" s="84" t="e">
        <f>E318/I318*100-100</f>
        <v>#DIV/0!</v>
      </c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" customHeight="1">
      <c r="B319" s="615"/>
      <c r="C319" s="615"/>
      <c r="D319" s="615"/>
      <c r="E319" s="615"/>
      <c r="F319" s="323"/>
      <c r="G319" s="323"/>
      <c r="H319" s="447"/>
      <c r="I319" s="29"/>
    </row>
    <row r="320" spans="1:25" ht="17.25" customHeight="1">
      <c r="B320" s="485" t="s">
        <v>278</v>
      </c>
      <c r="C320" s="486"/>
      <c r="D320" s="486" t="s">
        <v>279</v>
      </c>
      <c r="E320" s="486"/>
      <c r="F320" s="30"/>
      <c r="G320" s="30"/>
      <c r="H320" s="31"/>
      <c r="I320" s="29"/>
    </row>
    <row r="321" spans="2:10" hidden="1">
      <c r="B321" s="113"/>
      <c r="C321" s="32"/>
      <c r="D321" s="32"/>
      <c r="E321" s="32"/>
      <c r="F321" s="34"/>
      <c r="G321" s="34"/>
      <c r="H321" s="35"/>
      <c r="I321" s="32"/>
      <c r="J321" s="14"/>
    </row>
    <row r="322" spans="2:10">
      <c r="B322" s="114"/>
      <c r="C322" s="38"/>
      <c r="D322" s="32"/>
      <c r="E322" s="32"/>
      <c r="F322" s="33"/>
      <c r="G322" s="33"/>
      <c r="H322" s="35"/>
      <c r="I322" s="32"/>
      <c r="J322" s="14"/>
    </row>
    <row r="323" spans="2:10">
      <c r="C323" s="40"/>
      <c r="D323" s="36"/>
      <c r="E323" s="36"/>
      <c r="F323" s="33"/>
      <c r="G323" s="33"/>
      <c r="H323" s="35"/>
      <c r="I323" s="36"/>
      <c r="J323" s="14"/>
    </row>
    <row r="324" spans="2:10">
      <c r="C324" s="40"/>
      <c r="D324" s="36"/>
      <c r="E324" s="36"/>
      <c r="F324" s="37"/>
      <c r="G324" s="37"/>
      <c r="H324" s="35"/>
      <c r="I324" s="36"/>
      <c r="J324" s="14"/>
    </row>
    <row r="325" spans="2:10">
      <c r="C325" s="40"/>
      <c r="D325" s="36"/>
      <c r="E325" s="32"/>
      <c r="F325" s="33"/>
      <c r="G325" s="33"/>
      <c r="H325" s="35"/>
      <c r="I325" s="32"/>
      <c r="J325" s="14"/>
    </row>
    <row r="326" spans="2:10">
      <c r="C326" s="40"/>
      <c r="D326" s="40"/>
      <c r="E326" s="38"/>
      <c r="F326" s="1"/>
      <c r="G326" s="1"/>
      <c r="H326" s="39"/>
    </row>
    <row r="327" spans="2:10" ht="20.25" customHeight="1">
      <c r="B327" s="115"/>
      <c r="C327" s="40"/>
      <c r="D327" s="40"/>
      <c r="E327" s="40"/>
      <c r="F327" s="2"/>
      <c r="G327" s="2"/>
      <c r="H327" s="39"/>
    </row>
    <row r="328" spans="2:10" ht="18" customHeight="1">
      <c r="B328" s="114"/>
      <c r="C328" s="40"/>
      <c r="D328" s="40"/>
      <c r="E328" s="40"/>
      <c r="F328" s="2"/>
      <c r="G328" s="2"/>
      <c r="H328" s="39"/>
    </row>
    <row r="329" spans="2:10">
      <c r="C329" s="10"/>
      <c r="D329" s="10"/>
      <c r="E329" s="10"/>
      <c r="F329" s="3"/>
      <c r="G329" s="3"/>
      <c r="H329" s="41"/>
    </row>
    <row r="330" spans="2:10">
      <c r="B330" s="116"/>
      <c r="C330" s="10"/>
      <c r="D330" s="10"/>
      <c r="E330" s="10"/>
      <c r="F330" s="3"/>
      <c r="G330" s="3"/>
      <c r="H330" s="41"/>
    </row>
    <row r="331" spans="2:10">
      <c r="C331" s="10"/>
      <c r="D331" s="10"/>
      <c r="E331" s="10"/>
      <c r="F331" s="3"/>
      <c r="G331" s="3"/>
      <c r="H331" s="41"/>
    </row>
    <row r="332" spans="2:10">
      <c r="C332" s="10"/>
      <c r="D332" s="10"/>
      <c r="E332" s="10"/>
      <c r="F332" s="10"/>
      <c r="G332" s="10"/>
      <c r="H332" s="10"/>
      <c r="I332" s="10"/>
    </row>
    <row r="333" spans="2:10">
      <c r="C333" s="10"/>
      <c r="D333" s="10"/>
      <c r="E333" s="10"/>
      <c r="F333" s="3"/>
      <c r="G333" s="3"/>
      <c r="H333" s="41"/>
    </row>
    <row r="334" spans="2:10">
      <c r="C334" s="10"/>
      <c r="D334" s="10"/>
      <c r="E334" s="10"/>
      <c r="F334" s="3"/>
      <c r="G334" s="3"/>
      <c r="H334" s="41"/>
    </row>
    <row r="335" spans="2:10">
      <c r="C335" s="10"/>
      <c r="D335" s="10"/>
      <c r="E335" s="10"/>
      <c r="F335" s="3"/>
      <c r="G335" s="3"/>
      <c r="H335" s="41"/>
    </row>
    <row r="336" spans="2:10">
      <c r="C336" s="10"/>
      <c r="D336" s="10"/>
      <c r="E336" s="10"/>
      <c r="F336" s="3"/>
      <c r="G336" s="3"/>
      <c r="H336" s="41"/>
    </row>
    <row r="337" spans="3:11">
      <c r="C337" s="10"/>
      <c r="D337" s="10"/>
      <c r="E337" s="51"/>
      <c r="F337" s="3"/>
      <c r="G337" s="3"/>
      <c r="H337" s="41"/>
      <c r="I337" s="214"/>
      <c r="J337" s="215"/>
      <c r="K337" s="215"/>
    </row>
    <row r="338" spans="3:11" ht="18.75">
      <c r="C338" s="10"/>
      <c r="D338" s="10"/>
      <c r="E338" s="52"/>
      <c r="F338" s="3"/>
      <c r="G338" s="3"/>
      <c r="H338" s="41"/>
      <c r="I338" s="216"/>
    </row>
    <row r="339" spans="3:11" ht="18.75">
      <c r="C339" s="10"/>
      <c r="D339" s="10"/>
      <c r="E339" s="52"/>
      <c r="F339" s="3"/>
      <c r="G339" s="3"/>
      <c r="H339" s="41"/>
      <c r="I339" s="217"/>
      <c r="J339" s="218"/>
      <c r="K339" s="218"/>
    </row>
    <row r="340" spans="3:11" ht="18.75">
      <c r="C340" s="10"/>
      <c r="D340" s="10"/>
      <c r="E340" s="52"/>
      <c r="F340" s="3"/>
      <c r="G340" s="3"/>
      <c r="H340" s="41"/>
      <c r="I340" s="216"/>
      <c r="J340" s="215"/>
      <c r="K340" s="215"/>
    </row>
    <row r="341" spans="3:11">
      <c r="C341" s="10"/>
      <c r="D341" s="10"/>
      <c r="E341" s="10"/>
      <c r="F341" s="3"/>
      <c r="G341" s="3"/>
      <c r="H341" s="41"/>
    </row>
    <row r="342" spans="3:11">
      <c r="C342" s="10"/>
      <c r="D342" s="10"/>
      <c r="E342" s="10"/>
      <c r="F342" s="3"/>
      <c r="G342" s="3"/>
      <c r="H342" s="41"/>
    </row>
    <row r="343" spans="3:11">
      <c r="C343" s="10"/>
      <c r="D343" s="10"/>
      <c r="E343" s="10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51"/>
      <c r="D345" s="51"/>
      <c r="E345" s="51"/>
      <c r="F345" s="3"/>
      <c r="G345" s="3"/>
      <c r="H345" s="41"/>
    </row>
    <row r="346" spans="3:11">
      <c r="C346" s="51"/>
      <c r="D346" s="51"/>
      <c r="E346" s="51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  <row r="357" spans="3:8">
      <c r="C357" s="10"/>
      <c r="D357" s="10"/>
      <c r="E357" s="10"/>
      <c r="F357" s="3"/>
      <c r="G357" s="3"/>
      <c r="H357" s="41"/>
    </row>
    <row r="358" spans="3:8">
      <c r="C358" s="10"/>
      <c r="D358" s="10"/>
      <c r="E358" s="10"/>
      <c r="F358" s="3"/>
      <c r="G358" s="3"/>
      <c r="H358" s="41"/>
    </row>
  </sheetData>
  <mergeCells count="14">
    <mergeCell ref="A5:A6"/>
    <mergeCell ref="B5:B6"/>
    <mergeCell ref="C5:C6"/>
    <mergeCell ref="D5:D6"/>
    <mergeCell ref="E5:E6"/>
    <mergeCell ref="B319:E319"/>
    <mergeCell ref="B3:G3"/>
    <mergeCell ref="F1:H1"/>
    <mergeCell ref="I1:K1"/>
    <mergeCell ref="D4:E4"/>
    <mergeCell ref="F5:G5"/>
    <mergeCell ref="H5:H6"/>
    <mergeCell ref="I5:I6"/>
    <mergeCell ref="J5:K5"/>
  </mergeCells>
  <pageMargins left="0.27559055118110237" right="0.19685039370078741" top="0.37" bottom="0.4" header="0.15748031496062992" footer="0.19685039370078741"/>
  <pageSetup paperSize="9" scale="64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Z356"/>
  <sheetViews>
    <sheetView view="pageBreakPreview" zoomScale="90" zoomScaleSheetLayoutView="90" workbookViewId="0">
      <pane xSplit="1" ySplit="6" topLeftCell="B95" activePane="bottomRight" state="frozen"/>
      <selection pane="topRight" activeCell="B1" sqref="B1"/>
      <selection pane="bottomLeft" activeCell="A7" sqref="A7"/>
      <selection pane="bottomRight" activeCell="C285" sqref="C285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17" t="s">
        <v>309</v>
      </c>
      <c r="G1" s="618"/>
      <c r="H1" s="618"/>
      <c r="I1" s="619"/>
      <c r="J1" s="620"/>
      <c r="K1" s="620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616" t="s">
        <v>310</v>
      </c>
      <c r="C3" s="616"/>
      <c r="D3" s="616"/>
      <c r="E3" s="616"/>
      <c r="F3" s="616"/>
      <c r="G3" s="616"/>
      <c r="H3" s="616"/>
      <c r="I3" s="468"/>
    </row>
    <row r="4" spans="1:25" ht="13.5" customHeight="1">
      <c r="B4" s="112"/>
      <c r="C4" s="42"/>
      <c r="D4" s="621"/>
      <c r="E4" s="621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29" t="s">
        <v>9</v>
      </c>
      <c r="B5" s="631" t="s">
        <v>8</v>
      </c>
      <c r="C5" s="633" t="s">
        <v>286</v>
      </c>
      <c r="D5" s="635" t="s">
        <v>311</v>
      </c>
      <c r="E5" s="626" t="s">
        <v>312</v>
      </c>
      <c r="F5" s="622" t="s">
        <v>52</v>
      </c>
      <c r="G5" s="623"/>
      <c r="H5" s="624" t="s">
        <v>314</v>
      </c>
      <c r="I5" s="626" t="s">
        <v>251</v>
      </c>
      <c r="J5" s="627" t="s">
        <v>250</v>
      </c>
      <c r="K5" s="628"/>
    </row>
    <row r="6" spans="1:25" ht="54.75" customHeight="1">
      <c r="A6" s="630"/>
      <c r="B6" s="632"/>
      <c r="C6" s="634"/>
      <c r="D6" s="625"/>
      <c r="E6" s="625"/>
      <c r="F6" s="25" t="s">
        <v>281</v>
      </c>
      <c r="G6" s="26" t="s">
        <v>313</v>
      </c>
      <c r="H6" s="625"/>
      <c r="I6" s="625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495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0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40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44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ref="G41:G49" si="18">IF(D41=0,"",E41/D41*100)</f>
        <v>123.71502594604438</v>
      </c>
      <c r="H41" s="525">
        <f t="shared" ref="H41:H58" si="19">E41-D41</f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18"/>
        <v>121.05454545454546</v>
      </c>
      <c r="H42" s="333">
        <f t="shared" si="19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18"/>
        <v>138.93362322327826</v>
      </c>
      <c r="H43" s="333">
        <f t="shared" si="19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18"/>
        <v>93.027801911381403</v>
      </c>
      <c r="H44" s="333">
        <f t="shared" si="19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20">SUM(E46+E52+E68)</f>
        <v>134598</v>
      </c>
      <c r="F45" s="449">
        <f t="shared" si="15"/>
        <v>15.035069317614417</v>
      </c>
      <c r="G45" s="524">
        <f t="shared" si="18"/>
        <v>160.51853265276915</v>
      </c>
      <c r="H45" s="525">
        <f t="shared" si="19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ref="K45:K50" si="21">E45/I45*100-100</f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22">SUM(D47+D49)</f>
        <v>0</v>
      </c>
      <c r="E46" s="325">
        <f t="shared" si="22"/>
        <v>0</v>
      </c>
      <c r="F46" s="164">
        <f t="shared" si="15"/>
        <v>0</v>
      </c>
      <c r="G46" s="496" t="str">
        <f t="shared" si="18"/>
        <v/>
      </c>
      <c r="H46" s="326">
        <f t="shared" si="19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21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19"/>
        <v>0</v>
      </c>
      <c r="I47" s="149">
        <f>I48</f>
        <v>8.5739999999999998</v>
      </c>
      <c r="J47" s="151">
        <f t="shared" si="6"/>
        <v>-8.5739999999999998</v>
      </c>
      <c r="K47" s="161">
        <f t="shared" si="21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19"/>
        <v>0</v>
      </c>
      <c r="I48" s="172">
        <v>8.5739999999999998</v>
      </c>
      <c r="J48" s="158">
        <f t="shared" si="6"/>
        <v>-8.5739999999999998</v>
      </c>
      <c r="K48" s="159">
        <f t="shared" si="21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3">SUM(D51+D50)</f>
        <v>0</v>
      </c>
      <c r="E49" s="325">
        <f t="shared" si="23"/>
        <v>0</v>
      </c>
      <c r="F49" s="164">
        <f t="shared" si="15"/>
        <v>0</v>
      </c>
      <c r="G49" s="496" t="str">
        <f t="shared" si="18"/>
        <v/>
      </c>
      <c r="H49" s="326">
        <f t="shared" si="19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21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19"/>
        <v>0</v>
      </c>
      <c r="I50" s="173">
        <v>6.9189999999999996</v>
      </c>
      <c r="J50" s="158">
        <f>E50-I50</f>
        <v>-6.9189999999999996</v>
      </c>
      <c r="K50" s="159">
        <f t="shared" si="21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19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4">SUM(D53+D59+D61+D66)</f>
        <v>83852</v>
      </c>
      <c r="E52" s="325">
        <f t="shared" si="24"/>
        <v>134178</v>
      </c>
      <c r="F52" s="164">
        <f t="shared" ref="F52:F71" si="25">IF(C52=0,"",E52/C52*100)</f>
        <v>16.562199899771151</v>
      </c>
      <c r="G52" s="496">
        <f t="shared" ref="G52:G71" si="26">IF(D52=0,"",E52/D52*100)</f>
        <v>160.01765014549446</v>
      </c>
      <c r="H52" s="326">
        <f t="shared" si="19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7">SUM(D54:D58)</f>
        <v>83800</v>
      </c>
      <c r="E53" s="334">
        <f t="shared" si="27"/>
        <v>133337</v>
      </c>
      <c r="F53" s="164">
        <f t="shared" si="25"/>
        <v>16.496326162989945</v>
      </c>
      <c r="G53" s="496">
        <f t="shared" si="26"/>
        <v>159.11336515513125</v>
      </c>
      <c r="H53" s="326">
        <f t="shared" si="19"/>
        <v>49537</v>
      </c>
      <c r="I53" s="160">
        <f>I54+I55+I56+I57</f>
        <v>1332.6990000000001</v>
      </c>
      <c r="J53" s="151">
        <f t="shared" ref="J53:J65" si="28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5"/>
        <v>23.383297644539613</v>
      </c>
      <c r="G54" s="519">
        <f t="shared" si="26"/>
        <v>549.66442953020135</v>
      </c>
      <c r="H54" s="333">
        <f t="shared" si="19"/>
        <v>13400</v>
      </c>
      <c r="I54" s="173">
        <v>37.9</v>
      </c>
      <c r="J54" s="158">
        <f t="shared" si="28"/>
        <v>16342.1</v>
      </c>
      <c r="K54" s="159">
        <f t="shared" ref="K54:K65" si="29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5"/>
        <v>18.123065225655786</v>
      </c>
      <c r="G55" s="519">
        <f t="shared" si="26"/>
        <v>144.45887445887448</v>
      </c>
      <c r="H55" s="333">
        <f t="shared" si="19"/>
        <v>1027</v>
      </c>
      <c r="I55" s="174">
        <v>1082.1110000000001</v>
      </c>
      <c r="J55" s="158">
        <f t="shared" si="28"/>
        <v>2254.8890000000001</v>
      </c>
      <c r="K55" s="159">
        <f t="shared" si="29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5"/>
        <v>15.961900480458544</v>
      </c>
      <c r="G56" s="519">
        <f t="shared" si="26"/>
        <v>144.72041778117438</v>
      </c>
      <c r="H56" s="333">
        <f t="shared" si="19"/>
        <v>35110</v>
      </c>
      <c r="I56" s="171">
        <v>212.68799999999999</v>
      </c>
      <c r="J56" s="158">
        <f t="shared" si="28"/>
        <v>113407.31200000001</v>
      </c>
      <c r="K56" s="159">
        <f t="shared" si="29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5"/>
        <v/>
      </c>
      <c r="G57" s="162" t="str">
        <f t="shared" si="26"/>
        <v/>
      </c>
      <c r="H57" s="333">
        <f t="shared" ref="H57:H66" si="30">E57-D57</f>
        <v>0</v>
      </c>
      <c r="I57" s="173"/>
      <c r="J57" s="158">
        <f t="shared" si="28"/>
        <v>0</v>
      </c>
      <c r="K57" s="159" t="e">
        <f t="shared" si="29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19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31">SUM(D60)</f>
        <v>0</v>
      </c>
      <c r="E59" s="334">
        <f t="shared" si="31"/>
        <v>0</v>
      </c>
      <c r="F59" s="164">
        <f t="shared" si="25"/>
        <v>0</v>
      </c>
      <c r="G59" s="164" t="str">
        <f t="shared" si="26"/>
        <v/>
      </c>
      <c r="H59" s="326">
        <f t="shared" si="30"/>
        <v>0</v>
      </c>
      <c r="I59" s="160">
        <f>I60</f>
        <v>187.15799999999999</v>
      </c>
      <c r="J59" s="151">
        <f t="shared" si="28"/>
        <v>-187.15799999999999</v>
      </c>
      <c r="K59" s="161">
        <f t="shared" si="29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5"/>
        <v>0</v>
      </c>
      <c r="G60" s="162" t="str">
        <f t="shared" si="26"/>
        <v/>
      </c>
      <c r="H60" s="333">
        <f t="shared" si="30"/>
        <v>0</v>
      </c>
      <c r="I60" s="173">
        <v>187.15799999999999</v>
      </c>
      <c r="J60" s="158">
        <f t="shared" si="28"/>
        <v>-187.15799999999999</v>
      </c>
      <c r="K60" s="159">
        <f t="shared" si="29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32">SUM(D62:D65)</f>
        <v>52</v>
      </c>
      <c r="E61" s="334">
        <f t="shared" si="32"/>
        <v>55</v>
      </c>
      <c r="F61" s="164">
        <f t="shared" si="25"/>
        <v>9.6491228070175428</v>
      </c>
      <c r="G61" s="496">
        <f t="shared" si="26"/>
        <v>105.76923076923077</v>
      </c>
      <c r="H61" s="326">
        <f t="shared" si="30"/>
        <v>3</v>
      </c>
      <c r="I61" s="160">
        <f>I62+I63+I65</f>
        <v>74.503</v>
      </c>
      <c r="J61" s="151">
        <f t="shared" si="28"/>
        <v>-19.503</v>
      </c>
      <c r="K61" s="161">
        <f t="shared" si="29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5"/>
        <v>14.745308310991955</v>
      </c>
      <c r="G62" s="519">
        <f t="shared" si="26"/>
        <v>105.76923076923077</v>
      </c>
      <c r="H62" s="337">
        <f t="shared" si="30"/>
        <v>3</v>
      </c>
      <c r="I62" s="175">
        <v>47.179000000000002</v>
      </c>
      <c r="J62" s="176">
        <f t="shared" si="28"/>
        <v>7.820999999999998</v>
      </c>
      <c r="K62" s="177">
        <f t="shared" si="29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5"/>
        <v/>
      </c>
      <c r="G63" s="526" t="str">
        <f t="shared" si="26"/>
        <v/>
      </c>
      <c r="H63" s="342">
        <f t="shared" si="30"/>
        <v>0</v>
      </c>
      <c r="I63" s="174"/>
      <c r="J63" s="179">
        <f t="shared" si="28"/>
        <v>0</v>
      </c>
      <c r="K63" s="177" t="e">
        <f t="shared" si="29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30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6"/>
        <v/>
      </c>
      <c r="H65" s="344">
        <f t="shared" si="30"/>
        <v>0</v>
      </c>
      <c r="I65" s="171">
        <v>27.324000000000002</v>
      </c>
      <c r="J65" s="167">
        <f t="shared" si="28"/>
        <v>-27.324000000000002</v>
      </c>
      <c r="K65" s="159">
        <f t="shared" si="29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33">SUM(D67)</f>
        <v>0</v>
      </c>
      <c r="E66" s="448">
        <f t="shared" si="33"/>
        <v>786</v>
      </c>
      <c r="F66" s="449">
        <v>0</v>
      </c>
      <c r="G66" s="527" t="str">
        <f t="shared" si="26"/>
        <v/>
      </c>
      <c r="H66" s="344">
        <f t="shared" si="30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6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4">SUM(D69)</f>
        <v>0</v>
      </c>
      <c r="E68" s="325">
        <f t="shared" si="34"/>
        <v>420</v>
      </c>
      <c r="F68" s="449">
        <v>0</v>
      </c>
      <c r="G68" s="181" t="str">
        <f t="shared" si="26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5">SUM(D70:D71)</f>
        <v>0</v>
      </c>
      <c r="E69" s="325">
        <f t="shared" si="35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5"/>
        <v>5.4730258014073492</v>
      </c>
      <c r="G70" s="527">
        <v>0</v>
      </c>
      <c r="H70" s="333">
        <f t="shared" ref="H70:H85" si="36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5"/>
        <v>0</v>
      </c>
      <c r="G71" s="528" t="str">
        <f t="shared" si="26"/>
        <v/>
      </c>
      <c r="H71" s="467">
        <f t="shared" si="36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7">IF(C73=0,"",E73/C73*100)</f>
        <v>23.88423339824406</v>
      </c>
      <c r="G73" s="496">
        <f t="shared" ref="G73:G77" si="38">IF(D73=0,"",E73/D73*100)</f>
        <v>99.983313670339356</v>
      </c>
      <c r="H73" s="326">
        <f t="shared" si="36"/>
        <v>-1308</v>
      </c>
      <c r="I73" s="149" t="e">
        <f>I74</f>
        <v>#REF!</v>
      </c>
      <c r="J73" s="182" t="e">
        <f t="shared" ref="J73:J85" si="39">E73-I73</f>
        <v>#REF!</v>
      </c>
      <c r="K73" s="161" t="e">
        <f t="shared" ref="K73:K85" si="40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41">SUM(D85+D79+D75+D83)</f>
        <v>7838752</v>
      </c>
      <c r="E74" s="325">
        <f t="shared" si="41"/>
        <v>7837444</v>
      </c>
      <c r="F74" s="183">
        <f t="shared" si="37"/>
        <v>23.88423339824406</v>
      </c>
      <c r="G74" s="522">
        <f t="shared" si="38"/>
        <v>99.983313670339356</v>
      </c>
      <c r="H74" s="326">
        <f t="shared" si="36"/>
        <v>-1308</v>
      </c>
      <c r="I74" s="149" t="e">
        <f>I75+#REF!+I85</f>
        <v>#REF!</v>
      </c>
      <c r="J74" s="182" t="e">
        <f t="shared" si="39"/>
        <v>#REF!</v>
      </c>
      <c r="K74" s="161" t="e">
        <f t="shared" si="4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7"/>
        <v>24.999780934271516</v>
      </c>
      <c r="G75" s="168">
        <f t="shared" si="38"/>
        <v>100</v>
      </c>
      <c r="H75" s="326">
        <f t="shared" si="36"/>
        <v>0</v>
      </c>
      <c r="I75" s="149" t="e">
        <f>I76+I77+I78+#REF!+I81+#REF!+#REF!</f>
        <v>#REF!</v>
      </c>
      <c r="J75" s="182" t="e">
        <f t="shared" si="39"/>
        <v>#REF!</v>
      </c>
      <c r="K75" s="161" t="e">
        <f t="shared" si="4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7"/>
        <v/>
      </c>
      <c r="G76" s="156" t="str">
        <f t="shared" si="38"/>
        <v/>
      </c>
      <c r="H76" s="333">
        <f t="shared" si="36"/>
        <v>0</v>
      </c>
      <c r="I76" s="173"/>
      <c r="J76" s="167">
        <f t="shared" si="39"/>
        <v>0</v>
      </c>
      <c r="K76" s="159" t="e">
        <f t="shared" si="4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7"/>
        <v/>
      </c>
      <c r="G77" s="156" t="str">
        <f t="shared" si="38"/>
        <v/>
      </c>
      <c r="H77" s="333">
        <f t="shared" si="36"/>
        <v>0</v>
      </c>
      <c r="I77" s="185"/>
      <c r="J77" s="167">
        <f t="shared" si="39"/>
        <v>0</v>
      </c>
      <c r="K77" s="159" t="e">
        <f t="shared" si="4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ref="H78:H84" si="42"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43">SUM(D81+D80+D82)</f>
        <v>4900800</v>
      </c>
      <c r="E79" s="325">
        <f t="shared" si="43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4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44">IF(C81=0,"",E81/C81*100)</f>
        <v>23.099329757449496</v>
      </c>
      <c r="G81" s="156">
        <f t="shared" ref="G81:G89" si="45">IF(D81=0,"",E81/D81*100)</f>
        <v>100</v>
      </c>
      <c r="H81" s="333">
        <f t="shared" si="42"/>
        <v>0</v>
      </c>
      <c r="I81" s="173">
        <v>26270.7</v>
      </c>
      <c r="J81" s="167">
        <f t="shared" si="39"/>
        <v>4874529.3</v>
      </c>
      <c r="K81" s="159">
        <f t="shared" si="40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44"/>
        <v/>
      </c>
      <c r="G82" s="168" t="str">
        <f t="shared" si="45"/>
        <v/>
      </c>
      <c r="H82" s="326">
        <f t="shared" si="4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6">SUM(D84)</f>
        <v>74640</v>
      </c>
      <c r="E83" s="448">
        <f t="shared" si="46"/>
        <v>74640</v>
      </c>
      <c r="F83" s="183">
        <f t="shared" si="44"/>
        <v>60</v>
      </c>
      <c r="G83" s="168">
        <f t="shared" si="45"/>
        <v>100</v>
      </c>
      <c r="H83" s="326">
        <f t="shared" si="4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44"/>
        <v>60</v>
      </c>
      <c r="G84" s="156">
        <f t="shared" ref="G84" si="47">IF(D84=0,"",E84/D84*100)</f>
        <v>100</v>
      </c>
      <c r="H84" s="333">
        <f t="shared" si="4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8">SUM(D88+D86+D87)</f>
        <v>10312</v>
      </c>
      <c r="E85" s="448">
        <f t="shared" si="48"/>
        <v>9004</v>
      </c>
      <c r="F85" s="183">
        <f t="shared" si="44"/>
        <v>14.616883116883116</v>
      </c>
      <c r="G85" s="168">
        <f t="shared" si="45"/>
        <v>87.315748642358415</v>
      </c>
      <c r="H85" s="348">
        <f t="shared" si="36"/>
        <v>-1308</v>
      </c>
      <c r="I85" s="149">
        <f>SUM(I86:I88)</f>
        <v>53.982999999999997</v>
      </c>
      <c r="J85" s="182">
        <f t="shared" si="39"/>
        <v>8950.0169999999998</v>
      </c>
      <c r="K85" s="161">
        <f t="shared" si="40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44"/>
        <v>14.616883116883116</v>
      </c>
      <c r="G86" s="156">
        <f t="shared" si="45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44"/>
        <v/>
      </c>
      <c r="G87" s="156" t="str">
        <f t="shared" si="45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5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5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31" si="49">IF(C93=0,"",E93/C93*100)</f>
        <v>17.711042868406857</v>
      </c>
      <c r="G93" s="563">
        <f t="shared" ref="G93:G159" si="50">IF(D93=0,"",E93/D93*100)</f>
        <v>52.169002273928122</v>
      </c>
      <c r="H93" s="360">
        <f t="shared" ref="H93:H159" si="51">E93-D93</f>
        <v>-1565179</v>
      </c>
      <c r="I93" s="72"/>
      <c r="J93" s="121">
        <f t="shared" ref="J93:J151" si="52">E93-I93</f>
        <v>1707132</v>
      </c>
      <c r="K93" s="118" t="e">
        <f t="shared" ref="K93:K151" si="53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9"/>
        <v>13.660452331544784</v>
      </c>
      <c r="G94" s="563">
        <f t="shared" si="50"/>
        <v>47.804740966046225</v>
      </c>
      <c r="H94" s="360">
        <f t="shared" si="51"/>
        <v>-315750</v>
      </c>
      <c r="I94" s="72"/>
      <c r="J94" s="121">
        <f t="shared" si="52"/>
        <v>289190</v>
      </c>
      <c r="K94" s="118" t="e">
        <f t="shared" si="53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51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9"/>
        <v/>
      </c>
      <c r="G96" s="563" t="str">
        <f t="shared" si="50"/>
        <v/>
      </c>
      <c r="H96" s="360">
        <f t="shared" si="51"/>
        <v>0</v>
      </c>
      <c r="I96" s="72">
        <v>0</v>
      </c>
      <c r="J96" s="121">
        <f t="shared" si="52"/>
        <v>0</v>
      </c>
      <c r="K96" s="118" t="e">
        <f t="shared" si="53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54">D98+D99+D101+D108+D109+D104+D105+D106+D107+D103</f>
        <v>14517121</v>
      </c>
      <c r="E97" s="356">
        <f t="shared" si="54"/>
        <v>10419736</v>
      </c>
      <c r="F97" s="537">
        <f t="shared" si="49"/>
        <v>23.190840997095219</v>
      </c>
      <c r="G97" s="547">
        <f t="shared" si="50"/>
        <v>71.775498736974086</v>
      </c>
      <c r="H97" s="564">
        <f t="shared" si="51"/>
        <v>-4097385</v>
      </c>
      <c r="I97" s="123">
        <f>SUM(I98:I102)</f>
        <v>0</v>
      </c>
      <c r="J97" s="121">
        <f t="shared" si="52"/>
        <v>10419736</v>
      </c>
      <c r="K97" s="118" t="e">
        <f t="shared" si="53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9"/>
        <v>20.840079964231563</v>
      </c>
      <c r="G98" s="563">
        <f t="shared" si="50"/>
        <v>68.178302487120305</v>
      </c>
      <c r="H98" s="360">
        <f t="shared" si="51"/>
        <v>-854116</v>
      </c>
      <c r="I98" s="72"/>
      <c r="J98" s="121">
        <f t="shared" si="52"/>
        <v>1829952</v>
      </c>
      <c r="K98" s="118" t="e">
        <f t="shared" si="53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9"/>
        <v>26.725636955892305</v>
      </c>
      <c r="G99" s="533">
        <f t="shared" si="50"/>
        <v>60.679927851585056</v>
      </c>
      <c r="H99" s="362">
        <f t="shared" ref="H99:H109" si="55">E99-D99</f>
        <v>-2222028</v>
      </c>
      <c r="I99" s="138"/>
      <c r="J99" s="92">
        <f t="shared" si="52"/>
        <v>3429101</v>
      </c>
      <c r="K99" s="241" t="e">
        <f t="shared" si="53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ref="F100:F109" si="56">IF(C100=0,"",E100/C100*100)</f>
        <v>26.725636955892305</v>
      </c>
      <c r="G100" s="563">
        <f t="shared" ref="G100:G109" si="57">IF(D100=0,"",E100/D100*100)</f>
        <v>60.679927851585056</v>
      </c>
      <c r="H100" s="360">
        <f t="shared" si="5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56"/>
        <v>22.496728914697258</v>
      </c>
      <c r="G101" s="533">
        <f t="shared" si="57"/>
        <v>97.391262650995756</v>
      </c>
      <c r="H101" s="362">
        <f t="shared" si="5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56"/>
        <v>22.496728914697258</v>
      </c>
      <c r="G102" s="563">
        <f t="shared" si="57"/>
        <v>97.391262650995756</v>
      </c>
      <c r="H102" s="360">
        <f t="shared" si="5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56"/>
        <v>13.967437027859969</v>
      </c>
      <c r="G103" s="533">
        <f t="shared" si="57"/>
        <v>13.967437027859969</v>
      </c>
      <c r="H103" s="362">
        <f t="shared" si="5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56"/>
        <v>23.160977777777777</v>
      </c>
      <c r="G104" s="533">
        <f t="shared" si="57"/>
        <v>73.418145956607489</v>
      </c>
      <c r="H104" s="362">
        <f t="shared" si="5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56"/>
        <v>0</v>
      </c>
      <c r="G105" s="533">
        <f t="shared" si="57"/>
        <v>0</v>
      </c>
      <c r="H105" s="362">
        <f t="shared" si="5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56"/>
        <v/>
      </c>
      <c r="G106" s="533" t="str">
        <f t="shared" si="57"/>
        <v/>
      </c>
      <c r="H106" s="362">
        <f t="shared" si="5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56"/>
        <v/>
      </c>
      <c r="G107" s="533" t="str">
        <f t="shared" si="57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56"/>
        <v>0</v>
      </c>
      <c r="G108" s="127">
        <f t="shared" si="57"/>
        <v>0</v>
      </c>
      <c r="H108" s="362">
        <f t="shared" si="5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56"/>
        <v/>
      </c>
      <c r="G109" s="127" t="str">
        <f t="shared" si="57"/>
        <v/>
      </c>
      <c r="H109" s="362">
        <f t="shared" si="5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9"/>
        <v>19.865203983416382</v>
      </c>
      <c r="G110" s="127">
        <f t="shared" si="50"/>
        <v>27.506079249030417</v>
      </c>
      <c r="H110" s="362">
        <f t="shared" si="51"/>
        <v>-725625</v>
      </c>
      <c r="I110" s="137" t="e">
        <f>I111+#REF!</f>
        <v>#REF!</v>
      </c>
      <c r="J110" s="92" t="e">
        <f t="shared" si="52"/>
        <v>#REF!</v>
      </c>
      <c r="K110" s="241" t="e">
        <f t="shared" si="53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51"/>
        <v>-725625</v>
      </c>
      <c r="I111" s="72"/>
      <c r="J111" s="121">
        <f t="shared" si="52"/>
        <v>275321</v>
      </c>
      <c r="K111" s="118" t="e">
        <f t="shared" si="53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58">E114+E115+E117+E118+E113</f>
        <v>435057</v>
      </c>
      <c r="F112" s="126">
        <f t="shared" si="49"/>
        <v>21.006063438691093</v>
      </c>
      <c r="G112" s="127">
        <f t="shared" si="50"/>
        <v>60.598804897413395</v>
      </c>
      <c r="H112" s="362">
        <f t="shared" si="51"/>
        <v>-282873</v>
      </c>
      <c r="I112" s="123" t="e">
        <f>#REF!+I115+I116+I117+I118</f>
        <v>#REF!</v>
      </c>
      <c r="J112" s="92" t="e">
        <f t="shared" si="52"/>
        <v>#REF!</v>
      </c>
      <c r="K112" s="241" t="e">
        <f t="shared" si="53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9"/>
        <v>14.523157894736844</v>
      </c>
      <c r="G115" s="563">
        <f t="shared" si="50"/>
        <v>22.994999999999997</v>
      </c>
      <c r="H115" s="360">
        <f t="shared" si="51"/>
        <v>-184812</v>
      </c>
      <c r="I115" s="72"/>
      <c r="J115" s="121">
        <f t="shared" si="52"/>
        <v>55188</v>
      </c>
      <c r="K115" s="118" t="e">
        <f t="shared" si="53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51"/>
        <v>0</v>
      </c>
      <c r="I116" s="72"/>
      <c r="J116" s="121">
        <f t="shared" si="52"/>
        <v>0</v>
      </c>
      <c r="K116" s="118" t="e">
        <f t="shared" si="53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9"/>
        <v>17.389659520807061</v>
      </c>
      <c r="G117" s="563">
        <f t="shared" si="50"/>
        <v>17.389659520807061</v>
      </c>
      <c r="H117" s="360">
        <f t="shared" si="51"/>
        <v>-6551</v>
      </c>
      <c r="I117" s="138"/>
      <c r="J117" s="92">
        <f t="shared" si="52"/>
        <v>1379</v>
      </c>
      <c r="K117" s="241" t="e">
        <f t="shared" si="53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9"/>
        <v>20.77</v>
      </c>
      <c r="G118" s="563">
        <f t="shared" si="50"/>
        <v>27.693333333333332</v>
      </c>
      <c r="H118" s="360">
        <f t="shared" si="51"/>
        <v>-65076</v>
      </c>
      <c r="I118" s="72"/>
      <c r="J118" s="121">
        <f t="shared" si="52"/>
        <v>24924</v>
      </c>
      <c r="K118" s="118" t="e">
        <f t="shared" si="53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9"/>
        <v>24.00082844050976</v>
      </c>
      <c r="G119" s="533">
        <f t="shared" si="50"/>
        <v>77.243271939311185</v>
      </c>
      <c r="H119" s="362">
        <f t="shared" si="51"/>
        <v>-288490</v>
      </c>
      <c r="I119" s="137" t="e">
        <f>I120+#REF!+I121+I122</f>
        <v>#REF!</v>
      </c>
      <c r="J119" s="92" t="e">
        <f t="shared" si="52"/>
        <v>#REF!</v>
      </c>
      <c r="K119" s="241" t="e">
        <f t="shared" si="53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9"/>
        <v>25.739092992553438</v>
      </c>
      <c r="G120" s="563">
        <f t="shared" si="50"/>
        <v>84.877322052602537</v>
      </c>
      <c r="H120" s="360">
        <f t="shared" si="51"/>
        <v>-82222</v>
      </c>
      <c r="I120" s="72"/>
      <c r="J120" s="121">
        <f t="shared" si="52"/>
        <v>461478</v>
      </c>
      <c r="K120" s="118" t="e">
        <f t="shared" si="53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9"/>
        <v>23.144116710951216</v>
      </c>
      <c r="G121" s="563">
        <f t="shared" si="50"/>
        <v>74.601628499754327</v>
      </c>
      <c r="H121" s="360">
        <f t="shared" si="51"/>
        <v>-176268</v>
      </c>
      <c r="I121" s="72"/>
      <c r="J121" s="121">
        <f t="shared" si="52"/>
        <v>517745</v>
      </c>
      <c r="K121" s="118" t="e">
        <f t="shared" si="53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9"/>
        <v>0</v>
      </c>
      <c r="G122" s="129">
        <f t="shared" si="50"/>
        <v>0</v>
      </c>
      <c r="H122" s="360">
        <f t="shared" si="51"/>
        <v>-30000</v>
      </c>
      <c r="I122" s="72"/>
      <c r="J122" s="121">
        <f t="shared" si="52"/>
        <v>0</v>
      </c>
      <c r="K122" s="118" t="e">
        <f t="shared" si="53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9"/>
        <v>0</v>
      </c>
      <c r="G123" s="127">
        <f t="shared" si="50"/>
        <v>0</v>
      </c>
      <c r="H123" s="362">
        <f t="shared" si="51"/>
        <v>-40000</v>
      </c>
      <c r="I123" s="137" t="e">
        <f>I124+I125+#REF!</f>
        <v>#REF!</v>
      </c>
      <c r="J123" s="92" t="e">
        <f t="shared" si="52"/>
        <v>#REF!</v>
      </c>
      <c r="K123" s="241" t="e">
        <f t="shared" si="53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9"/>
        <v/>
      </c>
      <c r="G124" s="129" t="str">
        <f t="shared" si="50"/>
        <v/>
      </c>
      <c r="H124" s="360">
        <f t="shared" si="51"/>
        <v>0</v>
      </c>
      <c r="I124" s="72"/>
      <c r="J124" s="121">
        <f t="shared" si="52"/>
        <v>0</v>
      </c>
      <c r="K124" s="118" t="e">
        <f t="shared" si="53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9"/>
        <v>0</v>
      </c>
      <c r="G125" s="563">
        <f t="shared" si="50"/>
        <v>0</v>
      </c>
      <c r="H125" s="360">
        <f t="shared" si="51"/>
        <v>-40000</v>
      </c>
      <c r="I125" s="72"/>
      <c r="J125" s="121">
        <f t="shared" si="52"/>
        <v>0</v>
      </c>
      <c r="K125" s="118" t="e">
        <f t="shared" si="53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9"/>
        <v>20.101642395817571</v>
      </c>
      <c r="G126" s="533">
        <f t="shared" si="50"/>
        <v>45.956725537054517</v>
      </c>
      <c r="H126" s="362">
        <f t="shared" si="51"/>
        <v>-920177</v>
      </c>
      <c r="I126" s="123">
        <f>I127+I129+I131+I130</f>
        <v>0</v>
      </c>
      <c r="J126" s="92">
        <f t="shared" si="52"/>
        <v>782490</v>
      </c>
      <c r="K126" s="241" t="e">
        <f t="shared" si="53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9"/>
        <v>9.5208020841556795</v>
      </c>
      <c r="G127" s="563">
        <f t="shared" si="50"/>
        <v>9.5208020841556795</v>
      </c>
      <c r="H127" s="360">
        <f t="shared" si="51"/>
        <v>-11461</v>
      </c>
      <c r="I127" s="72"/>
      <c r="J127" s="121">
        <f t="shared" si="52"/>
        <v>1206</v>
      </c>
      <c r="K127" s="118" t="e">
        <f t="shared" si="53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9"/>
        <v>20.549500000000002</v>
      </c>
      <c r="G128" s="563">
        <f t="shared" si="50"/>
        <v>73.391071428571436</v>
      </c>
      <c r="H128" s="360">
        <f t="shared" si="51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9"/>
        <v/>
      </c>
      <c r="G129" s="563" t="str">
        <f t="shared" si="50"/>
        <v/>
      </c>
      <c r="H129" s="360">
        <f t="shared" si="51"/>
        <v>0</v>
      </c>
      <c r="I129" s="72"/>
      <c r="J129" s="121">
        <f t="shared" si="52"/>
        <v>0</v>
      </c>
      <c r="K129" s="118" t="e">
        <f t="shared" si="53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9"/>
        <v>19.992673611111112</v>
      </c>
      <c r="G130" s="563">
        <f t="shared" si="50"/>
        <v>40.83609929078014</v>
      </c>
      <c r="H130" s="360">
        <f t="shared" si="51"/>
        <v>-834211</v>
      </c>
      <c r="I130" s="72"/>
      <c r="J130" s="121">
        <f t="shared" si="52"/>
        <v>575789</v>
      </c>
      <c r="K130" s="118" t="e">
        <f t="shared" si="53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9"/>
        <v/>
      </c>
      <c r="G131" s="563" t="str">
        <f t="shared" si="50"/>
        <v/>
      </c>
      <c r="H131" s="360">
        <f t="shared" si="51"/>
        <v>0</v>
      </c>
      <c r="I131" s="72"/>
      <c r="J131" s="121">
        <f t="shared" si="52"/>
        <v>0</v>
      </c>
      <c r="K131" s="118" t="e">
        <f t="shared" si="53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9">SUM(D133+D137+D138+D139)</f>
        <v>327956</v>
      </c>
      <c r="E132" s="356">
        <f t="shared" si="59"/>
        <v>0</v>
      </c>
      <c r="F132" s="473">
        <f t="shared" ref="F132:F161" si="60">IF(C132=0,"",E132/C132*100)</f>
        <v>0</v>
      </c>
      <c r="G132" s="556">
        <f t="shared" si="50"/>
        <v>0</v>
      </c>
      <c r="H132" s="475">
        <f t="shared" si="51"/>
        <v>-327956</v>
      </c>
      <c r="I132" s="123">
        <f>I133</f>
        <v>0</v>
      </c>
      <c r="J132" s="92">
        <f t="shared" si="52"/>
        <v>0</v>
      </c>
      <c r="K132" s="241" t="e">
        <f t="shared" si="53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60"/>
        <v/>
      </c>
      <c r="G133" s="129" t="str">
        <f t="shared" si="50"/>
        <v/>
      </c>
      <c r="H133" s="360">
        <f t="shared" si="51"/>
        <v>0</v>
      </c>
      <c r="I133" s="72"/>
      <c r="J133" s="121">
        <f t="shared" si="52"/>
        <v>0</v>
      </c>
      <c r="K133" s="118" t="e">
        <f t="shared" si="53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60"/>
        <v/>
      </c>
      <c r="G134" s="127" t="str">
        <f t="shared" si="50"/>
        <v/>
      </c>
      <c r="H134" s="362">
        <f t="shared" si="51"/>
        <v>0</v>
      </c>
      <c r="I134" s="137">
        <f>I135</f>
        <v>0</v>
      </c>
      <c r="J134" s="92">
        <f t="shared" si="52"/>
        <v>0</v>
      </c>
      <c r="K134" s="241" t="e">
        <f t="shared" si="53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60"/>
        <v/>
      </c>
      <c r="G135" s="129" t="str">
        <f t="shared" si="50"/>
        <v/>
      </c>
      <c r="H135" s="360">
        <f t="shared" si="51"/>
        <v>0</v>
      </c>
      <c r="I135" s="72">
        <v>0</v>
      </c>
      <c r="J135" s="121">
        <f t="shared" si="52"/>
        <v>0</v>
      </c>
      <c r="K135" s="118" t="e">
        <f t="shared" si="53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60"/>
        <v/>
      </c>
      <c r="G136" s="129" t="str">
        <f t="shared" si="50"/>
        <v/>
      </c>
      <c r="H136" s="360">
        <f t="shared" si="51"/>
        <v>0</v>
      </c>
      <c r="I136" s="72"/>
      <c r="J136" s="121">
        <f t="shared" si="52"/>
        <v>0</v>
      </c>
      <c r="K136" s="118" t="e">
        <f t="shared" si="53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60"/>
        <v>0</v>
      </c>
      <c r="G137" s="563">
        <f t="shared" si="50"/>
        <v>0</v>
      </c>
      <c r="H137" s="360">
        <f t="shared" si="51"/>
        <v>-316956</v>
      </c>
      <c r="I137" s="72"/>
      <c r="J137" s="121">
        <f t="shared" si="52"/>
        <v>0</v>
      </c>
      <c r="K137" s="118" t="e">
        <f t="shared" si="53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60"/>
        <v/>
      </c>
      <c r="G138" s="563" t="str">
        <f t="shared" si="50"/>
        <v/>
      </c>
      <c r="H138" s="360">
        <f t="shared" si="51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61">D140+D141</f>
        <v>11000</v>
      </c>
      <c r="E139" s="369">
        <f t="shared" si="61"/>
        <v>0</v>
      </c>
      <c r="F139" s="126">
        <f t="shared" si="60"/>
        <v>0</v>
      </c>
      <c r="G139" s="533">
        <f t="shared" si="50"/>
        <v>0</v>
      </c>
      <c r="H139" s="362">
        <f t="shared" si="51"/>
        <v>-11000</v>
      </c>
      <c r="I139" s="102">
        <f>I140</f>
        <v>0</v>
      </c>
      <c r="J139" s="92">
        <f t="shared" si="52"/>
        <v>0</v>
      </c>
      <c r="K139" s="241" t="e">
        <f t="shared" si="53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60"/>
        <v>0</v>
      </c>
      <c r="G140" s="563">
        <f t="shared" si="50"/>
        <v>0</v>
      </c>
      <c r="H140" s="360">
        <f t="shared" si="51"/>
        <v>-11000</v>
      </c>
      <c r="I140" s="72"/>
      <c r="J140" s="121">
        <f t="shared" si="52"/>
        <v>0</v>
      </c>
      <c r="K140" s="118" t="e">
        <f t="shared" si="53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60"/>
        <v/>
      </c>
      <c r="G141" s="563" t="str">
        <f t="shared" si="50"/>
        <v/>
      </c>
      <c r="H141" s="360">
        <f t="shared" si="51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60"/>
        <v/>
      </c>
      <c r="G143" s="568" t="str">
        <f>IF(D143=0,"",F143/D143*100)</f>
        <v/>
      </c>
      <c r="H143" s="362">
        <f t="shared" si="51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60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60"/>
        <v/>
      </c>
      <c r="G145" s="563" t="str">
        <f t="shared" si="50"/>
        <v/>
      </c>
      <c r="H145" s="360">
        <f t="shared" si="51"/>
        <v>0</v>
      </c>
      <c r="I145" s="72">
        <v>0</v>
      </c>
      <c r="J145" s="121">
        <f t="shared" si="52"/>
        <v>0</v>
      </c>
      <c r="K145" s="118" t="e">
        <f t="shared" si="53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60"/>
        <v/>
      </c>
      <c r="G146" s="533" t="str">
        <f t="shared" si="50"/>
        <v/>
      </c>
      <c r="H146" s="362">
        <f t="shared" si="51"/>
        <v>0</v>
      </c>
      <c r="I146" s="117">
        <f>I147+I148</f>
        <v>0</v>
      </c>
      <c r="J146" s="92">
        <f t="shared" si="52"/>
        <v>0</v>
      </c>
      <c r="K146" s="241" t="e">
        <f t="shared" si="53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60"/>
        <v/>
      </c>
      <c r="G147" s="563" t="str">
        <f t="shared" si="50"/>
        <v/>
      </c>
      <c r="H147" s="360">
        <f t="shared" si="51"/>
        <v>0</v>
      </c>
      <c r="I147" s="72"/>
      <c r="J147" s="121">
        <f t="shared" si="52"/>
        <v>0</v>
      </c>
      <c r="K147" s="118" t="e">
        <f t="shared" si="53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60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60"/>
        <v/>
      </c>
      <c r="G149" s="563" t="str">
        <f t="shared" si="50"/>
        <v/>
      </c>
      <c r="H149" s="360">
        <f t="shared" si="51"/>
        <v>0</v>
      </c>
      <c r="I149" s="72"/>
      <c r="J149" s="121">
        <f t="shared" si="52"/>
        <v>0</v>
      </c>
      <c r="K149" s="118" t="e">
        <f t="shared" si="53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60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60"/>
        <v/>
      </c>
      <c r="G151" s="563" t="str">
        <f t="shared" si="50"/>
        <v/>
      </c>
      <c r="H151" s="360">
        <f t="shared" si="51"/>
        <v>0</v>
      </c>
      <c r="I151" s="72"/>
      <c r="J151" s="121">
        <f t="shared" si="52"/>
        <v>0</v>
      </c>
      <c r="K151" s="118" t="e">
        <f t="shared" si="53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60"/>
        <v>0</v>
      </c>
      <c r="G152" s="563">
        <f t="shared" si="50"/>
        <v>0</v>
      </c>
      <c r="H152" s="360">
        <f t="shared" si="51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60"/>
        <v>38.968640740740739</v>
      </c>
      <c r="G153" s="129">
        <f t="shared" si="50"/>
        <v>38.968640740740739</v>
      </c>
      <c r="H153" s="360">
        <f t="shared" si="51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62">SUM(D155:D156)</f>
        <v>1200000</v>
      </c>
      <c r="E154" s="475">
        <f t="shared" si="62"/>
        <v>503587</v>
      </c>
      <c r="F154" s="589">
        <f t="shared" ref="F154:H154" si="63">SUM(F155)</f>
        <v>25.745756646216766</v>
      </c>
      <c r="G154" s="588">
        <f t="shared" si="63"/>
        <v>83.93116666666667</v>
      </c>
      <c r="H154" s="362">
        <f t="shared" si="6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60"/>
        <v>25.745756646216766</v>
      </c>
      <c r="G155" s="563">
        <f t="shared" si="50"/>
        <v>83.93116666666667</v>
      </c>
      <c r="H155" s="360">
        <f t="shared" si="51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64">SUM(D157)</f>
        <v>600000</v>
      </c>
      <c r="E156" s="362">
        <f t="shared" si="64"/>
        <v>0</v>
      </c>
      <c r="F156" s="568">
        <f t="shared" ref="F156" si="65">IF(C156=0,"",E156/C156*100)</f>
        <v>0</v>
      </c>
      <c r="G156" s="533">
        <f t="shared" ref="G156" si="66">IF(D156=0,"",E156/D156*100)</f>
        <v>0</v>
      </c>
      <c r="H156" s="362">
        <f t="shared" ref="H156" si="67">E156-D156</f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si="60"/>
        <v>0</v>
      </c>
      <c r="G157" s="563">
        <f t="shared" si="50"/>
        <v>0</v>
      </c>
      <c r="H157" s="360">
        <f t="shared" si="51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68">SUM(C159)</f>
        <v>40000</v>
      </c>
      <c r="D158" s="362">
        <f t="shared" si="68"/>
        <v>40000</v>
      </c>
      <c r="E158" s="362">
        <f t="shared" si="68"/>
        <v>0</v>
      </c>
      <c r="F158" s="362">
        <f t="shared" si="68"/>
        <v>0</v>
      </c>
      <c r="G158" s="572">
        <f t="shared" si="68"/>
        <v>0</v>
      </c>
      <c r="H158" s="362">
        <f t="shared" si="68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60"/>
        <v>0</v>
      </c>
      <c r="G159" s="129">
        <f t="shared" si="50"/>
        <v>0</v>
      </c>
      <c r="H159" s="360">
        <f t="shared" si="51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60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60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69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69"/>
        <v>-2557308</v>
      </c>
      <c r="I164" s="201"/>
      <c r="J164" s="248">
        <f t="shared" ref="J164:J175" si="70">E164-I164</f>
        <v>10258425</v>
      </c>
      <c r="K164" s="249" t="e">
        <f t="shared" ref="K164:K175" si="71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72">IF(C165=0,"",E165/C165*100)</f>
        <v>22.254159963099212</v>
      </c>
      <c r="G165" s="563">
        <f t="shared" ref="G165:G175" si="73">IF(D165=0,"",E165/D165*100)</f>
        <v>78.054517336929592</v>
      </c>
      <c r="H165" s="382">
        <f t="shared" si="69"/>
        <v>-636595</v>
      </c>
      <c r="I165" s="201"/>
      <c r="J165" s="248">
        <f t="shared" si="70"/>
        <v>2264207</v>
      </c>
      <c r="K165" s="249" t="e">
        <f t="shared" si="71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72"/>
        <v>7.3894736842105262</v>
      </c>
      <c r="G166" s="235">
        <f t="shared" si="73"/>
        <v>9.7953488372093034</v>
      </c>
      <c r="H166" s="379">
        <f t="shared" si="69"/>
        <v>-19394</v>
      </c>
      <c r="I166" s="186"/>
      <c r="J166" s="246">
        <f t="shared" si="70"/>
        <v>2106</v>
      </c>
      <c r="K166" s="247" t="e">
        <f t="shared" si="71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72"/>
        <v>8.3724813114256449</v>
      </c>
      <c r="G167" s="235">
        <f t="shared" si="73"/>
        <v>17.939669891861126</v>
      </c>
      <c r="H167" s="379">
        <f>E167-D167</f>
        <v>-201852</v>
      </c>
      <c r="I167" s="186"/>
      <c r="J167" s="246">
        <f t="shared" si="70"/>
        <v>44128</v>
      </c>
      <c r="K167" s="247" t="e">
        <f t="shared" si="71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72"/>
        <v>19.330893112927118</v>
      </c>
      <c r="G168" s="235">
        <f t="shared" si="73"/>
        <v>31.432184042072514</v>
      </c>
      <c r="H168" s="379">
        <f t="shared" si="69"/>
        <v>-2069917</v>
      </c>
      <c r="I168" s="186">
        <f>SUM(I169:I172)</f>
        <v>0</v>
      </c>
      <c r="J168" s="246">
        <f t="shared" si="70"/>
        <v>948871</v>
      </c>
      <c r="K168" s="247" t="e">
        <f t="shared" si="71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72"/>
        <v>9.9983032154068034</v>
      </c>
      <c r="G169" s="238">
        <f t="shared" si="73"/>
        <v>20.852870919224983</v>
      </c>
      <c r="H169" s="382">
        <f t="shared" si="69"/>
        <v>-17892</v>
      </c>
      <c r="I169" s="200"/>
      <c r="J169" s="248">
        <f t="shared" si="70"/>
        <v>4714</v>
      </c>
      <c r="K169" s="249" t="e">
        <f t="shared" si="71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72"/>
        <v>25.926263589524783</v>
      </c>
      <c r="G170" s="238">
        <f t="shared" si="73"/>
        <v>49.768113676217858</v>
      </c>
      <c r="H170" s="382">
        <f t="shared" si="69"/>
        <v>-430538</v>
      </c>
      <c r="I170" s="200"/>
      <c r="J170" s="248">
        <f t="shared" si="70"/>
        <v>426563</v>
      </c>
      <c r="K170" s="249" t="e">
        <f t="shared" si="71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72"/>
        <v>17.573820805673037</v>
      </c>
      <c r="G171" s="238">
        <f t="shared" si="73"/>
        <v>28.312753571532877</v>
      </c>
      <c r="H171" s="382">
        <f t="shared" si="69"/>
        <v>-1202755</v>
      </c>
      <c r="I171" s="200"/>
      <c r="J171" s="248">
        <f t="shared" si="70"/>
        <v>475026</v>
      </c>
      <c r="K171" s="249" t="e">
        <f t="shared" si="71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72"/>
        <v>8.2962385499902549</v>
      </c>
      <c r="G172" s="238">
        <f t="shared" si="73"/>
        <v>9.2278343810968995</v>
      </c>
      <c r="H172" s="382">
        <f t="shared" si="69"/>
        <v>-418732</v>
      </c>
      <c r="I172" s="200"/>
      <c r="J172" s="248">
        <f t="shared" si="70"/>
        <v>42568</v>
      </c>
      <c r="K172" s="249" t="e">
        <f t="shared" si="71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72"/>
        <v>0</v>
      </c>
      <c r="G173" s="456">
        <f t="shared" si="73"/>
        <v>0</v>
      </c>
      <c r="H173" s="402">
        <f t="shared" si="69"/>
        <v>-20900</v>
      </c>
      <c r="I173" s="200"/>
      <c r="J173" s="248">
        <f t="shared" si="70"/>
        <v>0</v>
      </c>
      <c r="K173" s="249" t="e">
        <f t="shared" si="71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70"/>
        <v>0</v>
      </c>
      <c r="K174" s="247" t="e">
        <f t="shared" si="71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72"/>
        <v>16.235737591958333</v>
      </c>
      <c r="G175" s="240">
        <f t="shared" si="73"/>
        <v>24.769501901493367</v>
      </c>
      <c r="H175" s="348">
        <f t="shared" si="69"/>
        <v>-243318</v>
      </c>
      <c r="I175" s="186"/>
      <c r="J175" s="250">
        <f t="shared" si="70"/>
        <v>80112</v>
      </c>
      <c r="K175" s="251" t="e">
        <f t="shared" si="71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74">C180</f>
        <v>12760</v>
      </c>
      <c r="D179" s="356">
        <f t="shared" si="74"/>
        <v>3727</v>
      </c>
      <c r="E179" s="356">
        <f t="shared" si="74"/>
        <v>3334</v>
      </c>
      <c r="F179" s="126">
        <f t="shared" ref="F179:F184" si="75">IF(C179=0,"",E179/C179*100)</f>
        <v>26.128526645768023</v>
      </c>
      <c r="G179" s="533">
        <f t="shared" ref="G179:G185" si="76">IF(D179=0,"",E179/D179*100)</f>
        <v>89.455325999463369</v>
      </c>
      <c r="H179" s="384">
        <f t="shared" ref="H179:H192" si="77">E179-D179</f>
        <v>-393</v>
      </c>
      <c r="I179" s="123">
        <f>I180</f>
        <v>71.819999999999993</v>
      </c>
      <c r="J179" s="92">
        <f t="shared" ref="J179:J191" si="78">E179-I179</f>
        <v>3262.18</v>
      </c>
      <c r="K179" s="122">
        <f t="shared" ref="K179:K191" si="79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74"/>
        <v>12760</v>
      </c>
      <c r="D180" s="369">
        <f t="shared" si="74"/>
        <v>3727</v>
      </c>
      <c r="E180" s="369">
        <f t="shared" si="74"/>
        <v>3334</v>
      </c>
      <c r="F180" s="126">
        <f t="shared" si="75"/>
        <v>26.128526645768023</v>
      </c>
      <c r="G180" s="533">
        <f t="shared" si="76"/>
        <v>89.455325999463369</v>
      </c>
      <c r="H180" s="362">
        <f t="shared" si="77"/>
        <v>-393</v>
      </c>
      <c r="I180" s="102">
        <f>I181</f>
        <v>71.819999999999993</v>
      </c>
      <c r="J180" s="87">
        <f t="shared" si="78"/>
        <v>3262.18</v>
      </c>
      <c r="K180" s="71">
        <f t="shared" si="79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75"/>
        <v>26.128526645768023</v>
      </c>
      <c r="G181" s="533">
        <f t="shared" si="76"/>
        <v>89.455325999463369</v>
      </c>
      <c r="H181" s="362">
        <f t="shared" si="77"/>
        <v>-393</v>
      </c>
      <c r="I181" s="103">
        <f>SUM(I182:I184)</f>
        <v>71.819999999999993</v>
      </c>
      <c r="J181" s="87">
        <f t="shared" si="78"/>
        <v>3262.18</v>
      </c>
      <c r="K181" s="71">
        <f t="shared" si="79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75"/>
        <v>27.139240506329116</v>
      </c>
      <c r="G182" s="534">
        <f t="shared" si="76"/>
        <v>90.847457627118644</v>
      </c>
      <c r="H182" s="368">
        <f t="shared" si="77"/>
        <v>-216</v>
      </c>
      <c r="I182" s="53">
        <v>8.2669999999999995</v>
      </c>
      <c r="J182" s="96">
        <f t="shared" si="78"/>
        <v>2135.7330000000002</v>
      </c>
      <c r="K182" s="47">
        <f t="shared" si="79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76"/>
        <v>776.92307692307691</v>
      </c>
      <c r="H183" s="368">
        <f t="shared" si="77"/>
        <v>88</v>
      </c>
      <c r="I183" s="55">
        <v>14.992000000000001</v>
      </c>
      <c r="J183" s="96">
        <f t="shared" si="78"/>
        <v>86.007999999999996</v>
      </c>
      <c r="K183" s="47">
        <f t="shared" si="79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75"/>
        <v>22.6875</v>
      </c>
      <c r="G184" s="534">
        <f t="shared" si="76"/>
        <v>80.42836041358936</v>
      </c>
      <c r="H184" s="366">
        <f t="shared" si="77"/>
        <v>-265</v>
      </c>
      <c r="I184" s="54">
        <v>48.561</v>
      </c>
      <c r="J184" s="86">
        <f t="shared" si="78"/>
        <v>1040.4390000000001</v>
      </c>
      <c r="K184" s="47">
        <f t="shared" si="79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76"/>
        <v>24.55404670343864</v>
      </c>
      <c r="H185" s="550">
        <f t="shared" si="77"/>
        <v>-978398.96600000001</v>
      </c>
      <c r="I185" s="104">
        <f>I189+I197</f>
        <v>5935.5839999999989</v>
      </c>
      <c r="J185" s="86">
        <f t="shared" si="78"/>
        <v>312486.45</v>
      </c>
      <c r="K185" s="47">
        <f t="shared" si="79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ref="H186:H187" si="80">E186-D186</f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80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ref="H188" si="81">E188-D188</f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82">IF(C189=0,"",E189/C189*100)</f>
        <v>45.475152542372882</v>
      </c>
      <c r="G189" s="537">
        <f t="shared" si="82"/>
        <v>3.985552370058973</v>
      </c>
      <c r="H189" s="392">
        <f t="shared" si="77"/>
        <v>1542.0340000000001</v>
      </c>
      <c r="I189" s="104">
        <f>I190+I193+I195</f>
        <v>17.687000000000001</v>
      </c>
      <c r="J189" s="86">
        <f t="shared" si="78"/>
        <v>2665.3470000000002</v>
      </c>
      <c r="K189" s="47">
        <f t="shared" si="79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82"/>
        <v>45.474576271186443</v>
      </c>
      <c r="G190" s="537">
        <f t="shared" si="82"/>
        <v>3.9855018642582332</v>
      </c>
      <c r="H190" s="392">
        <f t="shared" si="77"/>
        <v>1542</v>
      </c>
      <c r="I190" s="104">
        <f>I191</f>
        <v>12.029</v>
      </c>
      <c r="J190" s="86">
        <f t="shared" si="78"/>
        <v>2670.971</v>
      </c>
      <c r="K190" s="47">
        <f t="shared" si="79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82"/>
        <v>45.474576271186443</v>
      </c>
      <c r="G191" s="534">
        <f t="shared" ref="G191" si="83">IF(D191=0,"",E191/D191*100)</f>
        <v>235.14460999123577</v>
      </c>
      <c r="H191" s="366">
        <f t="shared" ref="H191" si="84">E191-D191</f>
        <v>1542</v>
      </c>
      <c r="I191" s="56">
        <v>12.029</v>
      </c>
      <c r="J191" s="88">
        <f t="shared" si="78"/>
        <v>2670.971</v>
      </c>
      <c r="K191" s="27">
        <f t="shared" si="79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77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82"/>
        <v/>
      </c>
      <c r="G193" s="120" t="str">
        <f t="shared" ref="G193:G199" si="85">IF(D193=0,"",E193/D193*100)</f>
        <v/>
      </c>
      <c r="H193" s="395">
        <f t="shared" ref="H193:H200" si="86">E193-D193</f>
        <v>3.4000000000000002E-2</v>
      </c>
      <c r="I193" s="101">
        <f>I194</f>
        <v>0</v>
      </c>
      <c r="J193" s="88">
        <f t="shared" ref="J193:J203" si="87">E193-I193</f>
        <v>3.4000000000000002E-2</v>
      </c>
      <c r="K193" s="27" t="e">
        <f t="shared" ref="K193:K203" si="88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82"/>
        <v/>
      </c>
      <c r="G194" s="120" t="str">
        <f t="shared" si="85"/>
        <v/>
      </c>
      <c r="H194" s="395">
        <f t="shared" si="86"/>
        <v>3.4000000000000002E-2</v>
      </c>
      <c r="I194" s="56"/>
      <c r="J194" s="88">
        <f t="shared" si="87"/>
        <v>3.4000000000000002E-2</v>
      </c>
      <c r="K194" s="27" t="e">
        <f t="shared" si="88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82"/>
        <v/>
      </c>
      <c r="G195" s="120" t="str">
        <f t="shared" si="85"/>
        <v/>
      </c>
      <c r="H195" s="395">
        <f t="shared" si="86"/>
        <v>0</v>
      </c>
      <c r="I195" s="104">
        <f>I196</f>
        <v>5.6580000000000004</v>
      </c>
      <c r="J195" s="88">
        <f t="shared" si="87"/>
        <v>-5.6580000000000004</v>
      </c>
      <c r="K195" s="27">
        <f t="shared" si="8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82"/>
        <v/>
      </c>
      <c r="G196" s="120" t="str">
        <f t="shared" si="85"/>
        <v/>
      </c>
      <c r="H196" s="395">
        <f t="shared" si="86"/>
        <v>0</v>
      </c>
      <c r="I196" s="56">
        <v>5.6580000000000004</v>
      </c>
      <c r="J196" s="88">
        <f t="shared" si="87"/>
        <v>-5.6580000000000004</v>
      </c>
      <c r="K196" s="27">
        <f t="shared" si="88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85"/>
        <v>24.368594097307977</v>
      </c>
      <c r="H197" s="548">
        <f t="shared" si="86"/>
        <v>-979941</v>
      </c>
      <c r="I197" s="104">
        <f>I198+I203</f>
        <v>5917.896999999999</v>
      </c>
      <c r="J197" s="88">
        <f t="shared" si="87"/>
        <v>309821.103</v>
      </c>
      <c r="K197" s="27">
        <f t="shared" si="88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85"/>
        <v>14.509446776981971</v>
      </c>
      <c r="H198" s="548">
        <f t="shared" si="86"/>
        <v>-1107684</v>
      </c>
      <c r="I198" s="104">
        <f>SUM(I199:I202)</f>
        <v>1777.239</v>
      </c>
      <c r="J198" s="88">
        <f t="shared" si="87"/>
        <v>186218.761</v>
      </c>
      <c r="K198" s="27">
        <f t="shared" si="88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85"/>
        <v>15.379723373231952</v>
      </c>
      <c r="H199" s="545">
        <f t="shared" si="86"/>
        <v>-1027214</v>
      </c>
      <c r="I199" s="56">
        <v>1142.6300000000001</v>
      </c>
      <c r="J199" s="88">
        <f t="shared" si="87"/>
        <v>185553.37</v>
      </c>
      <c r="K199" s="27">
        <f t="shared" si="88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89">IF(C200=0,"",E200/C200*100)</f>
        <v/>
      </c>
      <c r="G200" s="534" t="str">
        <f t="shared" ref="G200:G205" si="90">IF(D200=0,"",E200/D200*100)</f>
        <v/>
      </c>
      <c r="H200" s="395">
        <f t="shared" si="86"/>
        <v>0</v>
      </c>
      <c r="I200" s="56">
        <v>441.048</v>
      </c>
      <c r="J200" s="88">
        <f t="shared" si="87"/>
        <v>-441.048</v>
      </c>
      <c r="K200" s="27">
        <f t="shared" si="88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89"/>
        <v>0</v>
      </c>
      <c r="G201" s="534">
        <f t="shared" si="90"/>
        <v>0</v>
      </c>
      <c r="H201" s="395">
        <f t="shared" ref="H201:H224" si="91">E201-D201</f>
        <v>-79770</v>
      </c>
      <c r="I201" s="56">
        <v>179.351</v>
      </c>
      <c r="J201" s="88">
        <f t="shared" si="87"/>
        <v>-179.351</v>
      </c>
      <c r="K201" s="27">
        <f t="shared" si="88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89"/>
        <v>65</v>
      </c>
      <c r="G202" s="534">
        <f t="shared" si="90"/>
        <v>65</v>
      </c>
      <c r="H202" s="395">
        <f t="shared" si="91"/>
        <v>-700</v>
      </c>
      <c r="I202" s="56">
        <v>14.21</v>
      </c>
      <c r="J202" s="88">
        <f t="shared" si="87"/>
        <v>1285.79</v>
      </c>
      <c r="K202" s="27">
        <f t="shared" si="88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91"/>
        <v>127743</v>
      </c>
      <c r="I203" s="104">
        <f>I204+I205</f>
        <v>4140.6579999999994</v>
      </c>
      <c r="J203" s="88">
        <f t="shared" si="87"/>
        <v>123602.342</v>
      </c>
      <c r="K203" s="27">
        <f t="shared" si="88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91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89"/>
        <v/>
      </c>
      <c r="G205" s="120" t="str">
        <f t="shared" si="90"/>
        <v/>
      </c>
      <c r="H205" s="395">
        <f t="shared" si="91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91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92">C208</f>
        <v>0</v>
      </c>
      <c r="D207" s="391">
        <f t="shared" si="92"/>
        <v>0</v>
      </c>
      <c r="E207" s="391">
        <f t="shared" si="92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92"/>
        <v>0</v>
      </c>
      <c r="D208" s="391">
        <f t="shared" si="92"/>
        <v>0</v>
      </c>
      <c r="E208" s="391">
        <f t="shared" si="92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93">C211</f>
        <v>62081</v>
      </c>
      <c r="D210" s="391">
        <f t="shared" si="93"/>
        <v>0</v>
      </c>
      <c r="E210" s="391">
        <f t="shared" si="93"/>
        <v>0</v>
      </c>
      <c r="F210" s="537">
        <v>0</v>
      </c>
      <c r="G210" s="547">
        <v>0</v>
      </c>
      <c r="H210" s="392">
        <f t="shared" si="91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93"/>
        <v>62081</v>
      </c>
      <c r="D211" s="391">
        <f t="shared" si="93"/>
        <v>0</v>
      </c>
      <c r="E211" s="391">
        <f t="shared" si="93"/>
        <v>0</v>
      </c>
      <c r="F211" s="537">
        <v>0</v>
      </c>
      <c r="G211" s="547">
        <v>0</v>
      </c>
      <c r="H211" s="392">
        <f t="shared" si="91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91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9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91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91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91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91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91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91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94">IF(C222=0,"",E222/C222*100)</f>
        <v>23.041477749188818</v>
      </c>
      <c r="G222" s="555">
        <f t="shared" ref="G222:G239" si="95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94"/>
        <v>23.041477749188818</v>
      </c>
      <c r="G223" s="566">
        <f t="shared" si="95"/>
        <v>24.740035277436895</v>
      </c>
      <c r="H223" s="567">
        <f t="shared" si="91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94"/>
        <v>0</v>
      </c>
      <c r="G224" s="474" t="str">
        <f t="shared" si="95"/>
        <v/>
      </c>
      <c r="H224" s="561">
        <f t="shared" si="91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95"/>
        <v>24.740035277436895</v>
      </c>
      <c r="H225" s="579">
        <f t="shared" ref="H225:H231" si="96">E225-D225</f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v>1396421</v>
      </c>
      <c r="D226" s="607">
        <v>1300548</v>
      </c>
      <c r="E226" s="606">
        <v>321756</v>
      </c>
      <c r="F226" s="608">
        <f>IF(C226=0,"",E226/C226*100)</f>
        <v>23.041475314393008</v>
      </c>
      <c r="G226" s="609">
        <f t="shared" si="95"/>
        <v>24.740032663154302</v>
      </c>
      <c r="H226" s="610">
        <f t="shared" si="96"/>
        <v>-978792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94"/>
        <v/>
      </c>
      <c r="G227" s="591" t="str">
        <f t="shared" si="95"/>
        <v/>
      </c>
      <c r="H227" s="404">
        <f t="shared" si="96"/>
        <v>0</v>
      </c>
      <c r="I227" s="104">
        <f>SUM(I228:I232)</f>
        <v>0</v>
      </c>
      <c r="J227" s="88">
        <f t="shared" ref="J227:J232" si="97">E227-I227</f>
        <v>0</v>
      </c>
      <c r="K227" s="27" t="e">
        <f t="shared" ref="K227:K232" si="98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94"/>
        <v/>
      </c>
      <c r="G228" s="304" t="str">
        <f t="shared" si="95"/>
        <v/>
      </c>
      <c r="H228" s="404">
        <f t="shared" si="96"/>
        <v>0</v>
      </c>
      <c r="I228" s="74"/>
      <c r="J228" s="88">
        <f t="shared" si="97"/>
        <v>0</v>
      </c>
      <c r="K228" s="27" t="e">
        <f t="shared" si="98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94"/>
        <v/>
      </c>
      <c r="G229" s="580" t="str">
        <f t="shared" si="95"/>
        <v/>
      </c>
      <c r="H229" s="404">
        <f t="shared" si="96"/>
        <v>0</v>
      </c>
      <c r="I229" s="74"/>
      <c r="J229" s="88">
        <f t="shared" si="97"/>
        <v>0</v>
      </c>
      <c r="K229" s="27" t="e">
        <f t="shared" si="98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94"/>
        <v/>
      </c>
      <c r="G230" s="304" t="str">
        <f t="shared" si="95"/>
        <v/>
      </c>
      <c r="H230" s="404">
        <f t="shared" si="96"/>
        <v>0</v>
      </c>
      <c r="I230" s="74"/>
      <c r="J230" s="88">
        <f t="shared" si="97"/>
        <v>0</v>
      </c>
      <c r="K230" s="27" t="e">
        <f t="shared" si="98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94"/>
        <v/>
      </c>
      <c r="G231" s="304" t="str">
        <f t="shared" si="95"/>
        <v/>
      </c>
      <c r="H231" s="404">
        <f t="shared" si="96"/>
        <v>0</v>
      </c>
      <c r="I231" s="74"/>
      <c r="J231" s="88">
        <f t="shared" si="97"/>
        <v>0</v>
      </c>
      <c r="K231" s="27" t="e">
        <f t="shared" si="98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94"/>
        <v/>
      </c>
      <c r="G232" s="304" t="str">
        <f t="shared" si="95"/>
        <v/>
      </c>
      <c r="H232" s="404">
        <v>0</v>
      </c>
      <c r="I232" s="74"/>
      <c r="J232" s="88">
        <f t="shared" si="97"/>
        <v>0</v>
      </c>
      <c r="K232" s="27" t="e">
        <f t="shared" si="98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94"/>
        <v>13.544348735962931</v>
      </c>
      <c r="G233" s="304">
        <f t="shared" si="95"/>
        <v>13.544348735962931</v>
      </c>
      <c r="H233" s="404">
        <f>E233-D233</f>
        <v>-1156755</v>
      </c>
      <c r="I233" s="104">
        <f>SUM(I234:I243)</f>
        <v>0</v>
      </c>
      <c r="J233" s="88">
        <f t="shared" ref="J233:J252" si="99">E233-I233</f>
        <v>181220</v>
      </c>
      <c r="K233" s="27" t="e">
        <f t="shared" ref="K233:K259" si="100">E233/I233*100-100</f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94"/>
        <v>6.5542319749216302</v>
      </c>
      <c r="G234" s="581">
        <f t="shared" si="95"/>
        <v>6.5542319749216302</v>
      </c>
      <c r="H234" s="404">
        <f>E234-D234</f>
        <v>-298092</v>
      </c>
      <c r="I234" s="73"/>
      <c r="J234" s="88">
        <f t="shared" si="99"/>
        <v>20908</v>
      </c>
      <c r="K234" s="27" t="e">
        <f t="shared" si="10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94"/>
        <v>16.717015563492271</v>
      </c>
      <c r="G235" s="255">
        <f t="shared" si="95"/>
        <v>16.717015563492271</v>
      </c>
      <c r="H235" s="411">
        <f>E235-D235</f>
        <v>-798663</v>
      </c>
      <c r="I235" s="291"/>
      <c r="J235" s="87">
        <f t="shared" si="99"/>
        <v>160312</v>
      </c>
      <c r="K235" s="71" t="e">
        <f t="shared" si="10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94"/>
        <v>16.717015563492271</v>
      </c>
      <c r="G236" s="253">
        <f t="shared" si="95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94"/>
        <v/>
      </c>
      <c r="G237" s="253" t="str">
        <f t="shared" si="95"/>
        <v/>
      </c>
      <c r="H237" s="404">
        <f t="shared" ref="H237:H239" si="10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94"/>
        <v>0</v>
      </c>
      <c r="G238" s="253">
        <f t="shared" si="95"/>
        <v>0</v>
      </c>
      <c r="H238" s="404">
        <f t="shared" si="10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94"/>
        <v/>
      </c>
      <c r="G239" s="253" t="str">
        <f t="shared" si="95"/>
        <v/>
      </c>
      <c r="H239" s="404">
        <f t="shared" si="10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99"/>
        <v>0</v>
      </c>
      <c r="K241" s="71" t="e">
        <f t="shared" si="10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99"/>
        <v>0</v>
      </c>
      <c r="K242" s="27" t="e">
        <f t="shared" si="10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99"/>
        <v>0</v>
      </c>
      <c r="K243" s="27" t="e">
        <f t="shared" si="10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52" si="102">IF(C246=0,"",E246/C246*100)</f>
        <v/>
      </c>
      <c r="G246" s="253" t="str">
        <f t="shared" ref="G246:G252" si="103">IF(D246=0,"",E246/D246*100)</f>
        <v/>
      </c>
      <c r="H246" s="404">
        <f t="shared" ref="H246:H255" si="10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102"/>
        <v/>
      </c>
      <c r="G247" s="253" t="str">
        <f t="shared" si="103"/>
        <v/>
      </c>
      <c r="H247" s="404">
        <f t="shared" si="104"/>
        <v>0</v>
      </c>
      <c r="I247" s="104">
        <f>SUM(I248:I250)</f>
        <v>0</v>
      </c>
      <c r="J247" s="88">
        <f t="shared" si="99"/>
        <v>0</v>
      </c>
      <c r="K247" s="27" t="e">
        <f t="shared" si="10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102"/>
        <v/>
      </c>
      <c r="G248" s="253" t="str">
        <f t="shared" si="103"/>
        <v/>
      </c>
      <c r="H248" s="404">
        <f t="shared" si="104"/>
        <v>0</v>
      </c>
      <c r="I248" s="73">
        <v>0</v>
      </c>
      <c r="J248" s="88">
        <f t="shared" si="99"/>
        <v>0</v>
      </c>
      <c r="K248" s="27" t="e">
        <f t="shared" si="10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102"/>
        <v/>
      </c>
      <c r="G249" s="253" t="str">
        <f t="shared" si="103"/>
        <v/>
      </c>
      <c r="H249" s="404">
        <f t="shared" si="10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102"/>
        <v/>
      </c>
      <c r="G250" s="253" t="str">
        <f t="shared" si="103"/>
        <v/>
      </c>
      <c r="H250" s="404">
        <f t="shared" si="10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102"/>
        <v>0</v>
      </c>
      <c r="G251" s="254">
        <f t="shared" si="103"/>
        <v>0</v>
      </c>
      <c r="H251" s="414">
        <f t="shared" si="104"/>
        <v>-2000</v>
      </c>
      <c r="I251" s="104">
        <f>I253+I252</f>
        <v>0</v>
      </c>
      <c r="J251" s="87">
        <f t="shared" si="99"/>
        <v>0</v>
      </c>
      <c r="K251" s="27" t="e">
        <f t="shared" si="10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102"/>
        <v>0</v>
      </c>
      <c r="G252" s="253">
        <f t="shared" si="103"/>
        <v>0</v>
      </c>
      <c r="H252" s="404">
        <f t="shared" si="104"/>
        <v>-2000</v>
      </c>
      <c r="I252" s="73"/>
      <c r="J252" s="88">
        <f t="shared" si="99"/>
        <v>0</v>
      </c>
      <c r="K252" s="27" t="e">
        <f t="shared" si="10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ref="F253:F258" si="105">IF(C253=0,"",E253/C253*100)</f>
        <v/>
      </c>
      <c r="G253" s="253" t="str">
        <f t="shared" ref="G253:G258" si="106">IF(D253=0,"",E253/D253*100)</f>
        <v/>
      </c>
      <c r="H253" s="404">
        <f t="shared" si="10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105"/>
        <v/>
      </c>
      <c r="G254" s="253" t="str">
        <f t="shared" si="106"/>
        <v/>
      </c>
      <c r="H254" s="404">
        <f t="shared" si="10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105"/>
        <v/>
      </c>
      <c r="G255" s="255" t="str">
        <f t="shared" si="106"/>
        <v/>
      </c>
      <c r="H255" s="411">
        <f t="shared" si="10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105"/>
        <v/>
      </c>
      <c r="G256" s="253" t="str">
        <f t="shared" si="106"/>
        <v/>
      </c>
      <c r="H256" s="414">
        <f t="shared" ref="H256:H285" si="107">E256-D256</f>
        <v>0</v>
      </c>
      <c r="I256" s="104">
        <f>I257+I258</f>
        <v>0</v>
      </c>
      <c r="J256" s="87">
        <f t="shared" ref="J256:J275" si="108">E256-I256</f>
        <v>0</v>
      </c>
      <c r="K256" s="71" t="e">
        <f t="shared" si="10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105"/>
        <v/>
      </c>
      <c r="G257" s="253" t="str">
        <f t="shared" si="106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105"/>
        <v/>
      </c>
      <c r="G258" s="253" t="str">
        <f t="shared" si="106"/>
        <v/>
      </c>
      <c r="H258" s="404">
        <f t="shared" si="107"/>
        <v>0</v>
      </c>
      <c r="I258" s="74"/>
      <c r="J258" s="88">
        <f t="shared" si="108"/>
        <v>0</v>
      </c>
      <c r="K258" s="27" t="e">
        <f t="shared" si="10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ref="F259:F280" si="109">IF(C259=0,"",E259/C259*100)</f>
        <v/>
      </c>
      <c r="G259" s="254" t="str">
        <f t="shared" ref="G259:G286" si="110">IF(D259=0,"",E259/D259*100)</f>
        <v/>
      </c>
      <c r="H259" s="414">
        <f t="shared" si="107"/>
        <v>0</v>
      </c>
      <c r="I259" s="106">
        <f>I261+I262</f>
        <v>0</v>
      </c>
      <c r="J259" s="87">
        <f t="shared" si="108"/>
        <v>0</v>
      </c>
      <c r="K259" s="71" t="e">
        <f t="shared" si="10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109"/>
        <v/>
      </c>
      <c r="G261" s="253" t="str">
        <f t="shared" si="110"/>
        <v/>
      </c>
      <c r="H261" s="404">
        <f t="shared" si="107"/>
        <v>0</v>
      </c>
      <c r="I261" s="74"/>
      <c r="J261" s="88">
        <f t="shared" si="108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109"/>
        <v/>
      </c>
      <c r="G262" s="253" t="str">
        <f t="shared" si="110"/>
        <v/>
      </c>
      <c r="H262" s="404">
        <f t="shared" si="107"/>
        <v>0</v>
      </c>
      <c r="I262" s="74"/>
      <c r="J262" s="88">
        <f t="shared" si="108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111">SUM(D268+D274+D278)+D269</f>
        <v>250000</v>
      </c>
      <c r="E263" s="416">
        <f t="shared" si="111"/>
        <v>0</v>
      </c>
      <c r="F263" s="280">
        <f t="shared" si="109"/>
        <v>0</v>
      </c>
      <c r="G263" s="254">
        <f t="shared" si="110"/>
        <v>0</v>
      </c>
      <c r="H263" s="414">
        <f t="shared" si="107"/>
        <v>-250000</v>
      </c>
      <c r="I263" s="106">
        <f>I264</f>
        <v>0</v>
      </c>
      <c r="J263" s="87">
        <f t="shared" si="108"/>
        <v>0</v>
      </c>
      <c r="K263" s="71" t="e">
        <f t="shared" ref="K263:K270" si="112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109"/>
        <v/>
      </c>
      <c r="G264" s="253" t="str">
        <f t="shared" si="110"/>
        <v/>
      </c>
      <c r="H264" s="404">
        <f t="shared" si="107"/>
        <v>0</v>
      </c>
      <c r="I264" s="74"/>
      <c r="J264" s="88">
        <f t="shared" si="108"/>
        <v>0</v>
      </c>
      <c r="K264" s="27" t="e">
        <f t="shared" si="112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109"/>
        <v/>
      </c>
      <c r="G265" s="255" t="str">
        <f t="shared" si="110"/>
        <v/>
      </c>
      <c r="H265" s="411">
        <f t="shared" si="107"/>
        <v>0</v>
      </c>
      <c r="I265" s="106">
        <f>SUM(I266:I272)</f>
        <v>0</v>
      </c>
      <c r="J265" s="87">
        <f t="shared" si="108"/>
        <v>0</v>
      </c>
      <c r="K265" s="71" t="e">
        <f t="shared" si="112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109"/>
        <v/>
      </c>
      <c r="G266" s="253" t="str">
        <f t="shared" si="110"/>
        <v/>
      </c>
      <c r="H266" s="404">
        <f t="shared" si="107"/>
        <v>0</v>
      </c>
      <c r="I266" s="74"/>
      <c r="J266" s="88">
        <f t="shared" si="108"/>
        <v>0</v>
      </c>
      <c r="K266" s="27" t="e">
        <f t="shared" si="11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109"/>
        <v/>
      </c>
      <c r="G268" s="253" t="str">
        <f t="shared" si="110"/>
        <v/>
      </c>
      <c r="H268" s="404">
        <f t="shared" si="107"/>
        <v>0</v>
      </c>
      <c r="I268" s="74"/>
      <c r="J268" s="88">
        <f t="shared" si="108"/>
        <v>0</v>
      </c>
      <c r="K268" s="27" t="e">
        <f t="shared" si="11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109"/>
        <v/>
      </c>
      <c r="G270" s="253" t="str">
        <f t="shared" si="110"/>
        <v/>
      </c>
      <c r="H270" s="404">
        <f t="shared" si="107"/>
        <v>0</v>
      </c>
      <c r="I270" s="74"/>
      <c r="J270" s="88">
        <f t="shared" si="108"/>
        <v>0</v>
      </c>
      <c r="K270" s="27" t="e">
        <f t="shared" si="11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110"/>
        <v/>
      </c>
      <c r="H271" s="404">
        <f t="shared" si="107"/>
        <v>0</v>
      </c>
      <c r="I271" s="74"/>
      <c r="J271" s="88">
        <f t="shared" si="108"/>
        <v>0</v>
      </c>
      <c r="K271" s="27" t="e">
        <f t="shared" ref="K271:K285" si="113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110"/>
        <v/>
      </c>
      <c r="H272" s="404">
        <f t="shared" si="107"/>
        <v>0</v>
      </c>
      <c r="I272" s="74"/>
      <c r="J272" s="88">
        <f t="shared" si="108"/>
        <v>0</v>
      </c>
      <c r="K272" s="27" t="e">
        <f t="shared" si="113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109"/>
        <v>0</v>
      </c>
      <c r="G273" s="255" t="str">
        <f t="shared" si="110"/>
        <v/>
      </c>
      <c r="H273" s="411">
        <f t="shared" si="107"/>
        <v>0</v>
      </c>
      <c r="I273" s="106">
        <f>I274</f>
        <v>0</v>
      </c>
      <c r="J273" s="87">
        <f t="shared" si="108"/>
        <v>0</v>
      </c>
      <c r="K273" s="71" t="e">
        <f t="shared" si="113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109"/>
        <v>0</v>
      </c>
      <c r="G274" s="253" t="str">
        <f t="shared" si="110"/>
        <v/>
      </c>
      <c r="H274" s="404">
        <f t="shared" si="107"/>
        <v>0</v>
      </c>
      <c r="I274" s="74"/>
      <c r="J274" s="88">
        <f t="shared" si="108"/>
        <v>0</v>
      </c>
      <c r="K274" s="27" t="e">
        <f t="shared" si="113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108"/>
        <v>0</v>
      </c>
      <c r="K275" s="27" t="e">
        <f t="shared" si="113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109"/>
        <v/>
      </c>
      <c r="G276" s="253" t="str">
        <f t="shared" si="110"/>
        <v/>
      </c>
      <c r="H276" s="404">
        <f t="shared" si="107"/>
        <v>0</v>
      </c>
      <c r="I276" s="69"/>
      <c r="J276" s="88">
        <f t="shared" ref="J276:J285" si="114">E276-I276</f>
        <v>0</v>
      </c>
      <c r="K276" s="27" t="e">
        <f t="shared" si="113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107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109"/>
        <v>0</v>
      </c>
      <c r="G278" s="253" t="str">
        <f t="shared" si="110"/>
        <v/>
      </c>
      <c r="H278" s="404">
        <f t="shared" si="107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109"/>
        <v>0</v>
      </c>
      <c r="G279" s="506">
        <f t="shared" si="110"/>
        <v>0</v>
      </c>
      <c r="H279" s="507">
        <f t="shared" si="107"/>
        <v>-4868</v>
      </c>
      <c r="I279" s="106">
        <f>I280</f>
        <v>0</v>
      </c>
      <c r="J279" s="88">
        <f t="shared" si="114"/>
        <v>0</v>
      </c>
      <c r="K279" s="27" t="e">
        <f t="shared" si="113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109"/>
        <v>0</v>
      </c>
      <c r="G280" s="253">
        <f t="shared" si="110"/>
        <v>0</v>
      </c>
      <c r="H280" s="404">
        <f t="shared" si="107"/>
        <v>-4868</v>
      </c>
      <c r="I280" s="69"/>
      <c r="J280" s="88">
        <f t="shared" si="114"/>
        <v>0</v>
      </c>
      <c r="K280" s="27" t="e">
        <f t="shared" si="113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114"/>
        <v>0</v>
      </c>
      <c r="K281" s="71" t="e">
        <f t="shared" si="113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110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114"/>
        <v>181220</v>
      </c>
      <c r="K282" s="262" t="e">
        <f t="shared" si="113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110"/>
        <v/>
      </c>
      <c r="H283" s="420">
        <f t="shared" si="107"/>
        <v>0</v>
      </c>
      <c r="I283" s="77"/>
      <c r="J283" s="263">
        <f t="shared" si="114"/>
        <v>0</v>
      </c>
      <c r="K283" s="27" t="e">
        <f t="shared" si="113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115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110"/>
        <v>10.95088778814667</v>
      </c>
      <c r="H284" s="421">
        <f t="shared" si="115"/>
        <v>-1161623</v>
      </c>
      <c r="I284" s="57">
        <f t="shared" si="115"/>
        <v>0</v>
      </c>
      <c r="J284" s="264">
        <f t="shared" si="114"/>
        <v>181220</v>
      </c>
      <c r="K284" s="265" t="e">
        <f t="shared" si="113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110"/>
        <v>0</v>
      </c>
      <c r="H285" s="599">
        <f t="shared" si="107"/>
        <v>-354295</v>
      </c>
      <c r="I285" s="57"/>
      <c r="J285" s="297">
        <f t="shared" si="114"/>
        <v>0</v>
      </c>
      <c r="K285" s="298" t="e">
        <f t="shared" si="113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110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116">D287</f>
        <v>0</v>
      </c>
      <c r="E288" s="428">
        <f t="shared" si="116"/>
        <v>0</v>
      </c>
      <c r="F288" s="315" t="str">
        <f t="shared" si="116"/>
        <v/>
      </c>
      <c r="G288" s="315" t="str">
        <f t="shared" si="116"/>
        <v/>
      </c>
      <c r="H288" s="428">
        <f t="shared" si="116"/>
        <v>0</v>
      </c>
      <c r="I288" s="105">
        <f t="shared" si="116"/>
        <v>0</v>
      </c>
      <c r="J288" s="105">
        <f t="shared" si="116"/>
        <v>0</v>
      </c>
      <c r="K288" s="105" t="e">
        <f t="shared" si="116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117">IF(C291=0,"",E291/C291*100)</f>
        <v>20.316511893084936</v>
      </c>
      <c r="G291" s="321">
        <f t="shared" ref="G291:G302" si="118">IF(D291=0,"",E291/D291*100)</f>
        <v>98.441885395623828</v>
      </c>
      <c r="H291" s="437">
        <f t="shared" ref="H291:H302" si="119">E291-D291</f>
        <v>-227395.01600000076</v>
      </c>
      <c r="I291" s="101" t="e">
        <f>I89+I225</f>
        <v>#REF!</v>
      </c>
      <c r="J291" s="90" t="e">
        <f t="shared" ref="J291:J304" si="120">E291-I291</f>
        <v>#REF!</v>
      </c>
      <c r="K291" s="46" t="e">
        <f t="shared" ref="K291:K309" si="121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117"/>
        <v>17.227600749387364</v>
      </c>
      <c r="G292" s="319">
        <f t="shared" si="118"/>
        <v>96.653284721019489</v>
      </c>
      <c r="H292" s="434">
        <f t="shared" si="119"/>
        <v>-226087.01599999983</v>
      </c>
      <c r="I292" s="100">
        <f>I72+I222</f>
        <v>127077.906</v>
      </c>
      <c r="J292" s="95">
        <f t="shared" si="120"/>
        <v>6402325.0779999997</v>
      </c>
      <c r="K292" s="28">
        <f t="shared" si="121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117"/>
        <v>23.88423339824406</v>
      </c>
      <c r="G293" s="319">
        <f t="shared" si="118"/>
        <v>99.983313670339356</v>
      </c>
      <c r="H293" s="434">
        <f t="shared" si="119"/>
        <v>-1308</v>
      </c>
      <c r="I293" s="100" t="e">
        <f>I73</f>
        <v>#REF!</v>
      </c>
      <c r="J293" s="95" t="e">
        <f t="shared" si="120"/>
        <v>#REF!</v>
      </c>
      <c r="K293" s="28" t="e">
        <f t="shared" si="121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117"/>
        <v>21.376001231638899</v>
      </c>
      <c r="G294" s="321">
        <f t="shared" si="118"/>
        <v>59.059101250142831</v>
      </c>
      <c r="H294" s="437">
        <f t="shared" si="119"/>
        <v>-10795471</v>
      </c>
      <c r="I294" s="108" t="e">
        <f>SUM(I295:I312)</f>
        <v>#REF!</v>
      </c>
      <c r="J294" s="94" t="e">
        <f t="shared" si="120"/>
        <v>#REF!</v>
      </c>
      <c r="K294" s="80" t="e">
        <f t="shared" si="121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117"/>
        <v>16.949890501500832</v>
      </c>
      <c r="G295" s="319">
        <f t="shared" si="118"/>
        <v>51.197576149881094</v>
      </c>
      <c r="H295" s="434">
        <f t="shared" si="119"/>
        <v>-1902929</v>
      </c>
      <c r="I295" s="99">
        <f>I92+I227</f>
        <v>0</v>
      </c>
      <c r="J295" s="95">
        <f t="shared" si="120"/>
        <v>1996322</v>
      </c>
      <c r="K295" s="28" t="e">
        <f t="shared" si="121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117"/>
        <v>22.911886583075507</v>
      </c>
      <c r="G296" s="319">
        <f t="shared" si="118"/>
        <v>66.861506231182716</v>
      </c>
      <c r="H296" s="434">
        <f t="shared" si="119"/>
        <v>-5254140</v>
      </c>
      <c r="I296" s="99">
        <f>I97+I233</f>
        <v>0</v>
      </c>
      <c r="J296" s="95">
        <f t="shared" si="120"/>
        <v>10600956</v>
      </c>
      <c r="K296" s="28" t="e">
        <f t="shared" si="121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117"/>
        <v>19.865203983416382</v>
      </c>
      <c r="G297" s="319">
        <f t="shared" si="118"/>
        <v>27.506079249030417</v>
      </c>
      <c r="H297" s="434">
        <f t="shared" si="119"/>
        <v>-725625</v>
      </c>
      <c r="I297" s="99" t="e">
        <f>I110+I244</f>
        <v>#REF!</v>
      </c>
      <c r="J297" s="95" t="e">
        <f t="shared" si="120"/>
        <v>#REF!</v>
      </c>
      <c r="K297" s="28" t="e">
        <f t="shared" si="12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117"/>
        <v>21.006063438691093</v>
      </c>
      <c r="G298" s="319">
        <f t="shared" si="118"/>
        <v>60.598804897413395</v>
      </c>
      <c r="H298" s="434">
        <f t="shared" si="119"/>
        <v>-282873</v>
      </c>
      <c r="I298" s="99" t="e">
        <f>I112+I247</f>
        <v>#REF!</v>
      </c>
      <c r="J298" s="95" t="e">
        <f t="shared" si="120"/>
        <v>#REF!</v>
      </c>
      <c r="K298" s="28" t="e">
        <f t="shared" si="121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117"/>
        <v>23.989068963278626</v>
      </c>
      <c r="G299" s="319">
        <f t="shared" si="118"/>
        <v>77.121601495771088</v>
      </c>
      <c r="H299" s="434">
        <f t="shared" si="119"/>
        <v>-290490</v>
      </c>
      <c r="I299" s="99" t="e">
        <f>I119+I251</f>
        <v>#REF!</v>
      </c>
      <c r="J299" s="95" t="e">
        <f t="shared" si="120"/>
        <v>#REF!</v>
      </c>
      <c r="K299" s="28" t="e">
        <f t="shared" si="121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117"/>
        <v>0</v>
      </c>
      <c r="G300" s="319">
        <f t="shared" si="118"/>
        <v>0</v>
      </c>
      <c r="H300" s="434">
        <f t="shared" si="119"/>
        <v>-40000</v>
      </c>
      <c r="I300" s="99" t="e">
        <f>I123+I256</f>
        <v>#REF!</v>
      </c>
      <c r="J300" s="95" t="e">
        <f t="shared" si="120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117"/>
        <v>20.101642395817571</v>
      </c>
      <c r="G301" s="319">
        <f t="shared" si="118"/>
        <v>45.956725537054517</v>
      </c>
      <c r="H301" s="434">
        <f t="shared" si="119"/>
        <v>-920177</v>
      </c>
      <c r="I301" s="99">
        <f>I126+I259</f>
        <v>0</v>
      </c>
      <c r="J301" s="95">
        <f t="shared" si="120"/>
        <v>782490</v>
      </c>
      <c r="K301" s="28" t="e">
        <f t="shared" si="121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117"/>
        <v>0</v>
      </c>
      <c r="G302" s="319">
        <f t="shared" si="118"/>
        <v>0</v>
      </c>
      <c r="H302" s="434">
        <f t="shared" si="119"/>
        <v>-577956</v>
      </c>
      <c r="I302" s="99">
        <f>I132+I263</f>
        <v>0</v>
      </c>
      <c r="J302" s="95">
        <f t="shared" si="120"/>
        <v>0</v>
      </c>
      <c r="K302" s="28" t="e">
        <f t="shared" si="121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120"/>
        <v>0</v>
      </c>
      <c r="K303" s="28" t="e">
        <f t="shared" si="121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120"/>
        <v>#REF!</v>
      </c>
      <c r="K304" s="28" t="e">
        <f t="shared" si="121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ref="J305:J312" si="122">E305-I305</f>
        <v>0</v>
      </c>
      <c r="K305" s="28" t="e">
        <f t="shared" si="12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123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124">IF(C307=0,"",E307/C307*100)</f>
        <v/>
      </c>
      <c r="G307" s="319" t="str">
        <f t="shared" ref="G307:G316" si="125">IF(D307=0,"",E307/D307*100)</f>
        <v/>
      </c>
      <c r="H307" s="434">
        <f t="shared" si="123"/>
        <v>0</v>
      </c>
      <c r="I307" s="99">
        <f>I279</f>
        <v>0</v>
      </c>
      <c r="J307" s="95">
        <f t="shared" si="122"/>
        <v>0</v>
      </c>
      <c r="K307" s="28" t="e">
        <f t="shared" si="12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126">C145</f>
        <v>0</v>
      </c>
      <c r="D308" s="438">
        <f t="shared" si="126"/>
        <v>0</v>
      </c>
      <c r="E308" s="438">
        <f t="shared" si="126"/>
        <v>0</v>
      </c>
      <c r="F308" s="318" t="str">
        <f t="shared" si="124"/>
        <v/>
      </c>
      <c r="G308" s="319" t="str">
        <f t="shared" si="125"/>
        <v/>
      </c>
      <c r="H308" s="434">
        <f t="shared" si="123"/>
        <v>0</v>
      </c>
      <c r="I308" s="99">
        <f>I145</f>
        <v>0</v>
      </c>
      <c r="J308" s="95">
        <f t="shared" si="122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126"/>
        <v>0</v>
      </c>
      <c r="D309" s="438">
        <f t="shared" si="126"/>
        <v>0</v>
      </c>
      <c r="E309" s="438">
        <f t="shared" si="126"/>
        <v>0</v>
      </c>
      <c r="F309" s="318" t="str">
        <f t="shared" si="124"/>
        <v/>
      </c>
      <c r="G309" s="319" t="str">
        <f t="shared" si="125"/>
        <v/>
      </c>
      <c r="H309" s="434">
        <f t="shared" si="123"/>
        <v>0</v>
      </c>
      <c r="I309" s="99">
        <f>I146</f>
        <v>0</v>
      </c>
      <c r="J309" s="95">
        <f t="shared" si="122"/>
        <v>0</v>
      </c>
      <c r="K309" s="28" t="e">
        <f t="shared" si="12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124"/>
        <v/>
      </c>
      <c r="G310" s="319" t="str">
        <f t="shared" si="125"/>
        <v/>
      </c>
      <c r="H310" s="434">
        <f t="shared" si="123"/>
        <v>0</v>
      </c>
      <c r="I310" s="99">
        <f>I149</f>
        <v>0</v>
      </c>
      <c r="J310" s="95">
        <f t="shared" si="122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7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124"/>
        <v>0</v>
      </c>
      <c r="G311" s="319">
        <f t="shared" si="125"/>
        <v>0</v>
      </c>
      <c r="H311" s="434">
        <f t="shared" si="123"/>
        <v>-100000</v>
      </c>
      <c r="I311" s="99">
        <f>I150+I281</f>
        <v>0</v>
      </c>
      <c r="J311" s="95">
        <f t="shared" si="122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124"/>
        <v/>
      </c>
      <c r="G312" s="319" t="str">
        <f t="shared" si="125"/>
        <v/>
      </c>
      <c r="H312" s="434">
        <f t="shared" si="123"/>
        <v>0</v>
      </c>
      <c r="I312" s="99">
        <f>I151</f>
        <v>0</v>
      </c>
      <c r="J312" s="95">
        <f t="shared" si="122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124"/>
        <v/>
      </c>
      <c r="G313" s="319" t="str">
        <f t="shared" si="125"/>
        <v/>
      </c>
      <c r="H313" s="441">
        <f t="shared" si="123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124"/>
        <v>21.376001231638899</v>
      </c>
      <c r="G314" s="492">
        <f t="shared" si="125"/>
        <v>59.059101250142831</v>
      </c>
      <c r="H314" s="493">
        <f t="shared" si="123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14.25" customHeight="1" thickBot="1">
      <c r="A315" s="139"/>
      <c r="B315" s="442"/>
      <c r="C315" s="443"/>
      <c r="D315" s="443"/>
      <c r="E315" s="444"/>
      <c r="F315" s="290"/>
      <c r="G315" s="322" t="str">
        <f t="shared" si="125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125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615"/>
      <c r="C317" s="615"/>
      <c r="D317" s="615"/>
      <c r="E317" s="615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F1:H1"/>
    <mergeCell ref="B317:E317"/>
    <mergeCell ref="F5:G5"/>
    <mergeCell ref="E5:E6"/>
    <mergeCell ref="C5:C6"/>
    <mergeCell ref="D5:D6"/>
    <mergeCell ref="I1:K1"/>
    <mergeCell ref="I5:I6"/>
    <mergeCell ref="J5:K5"/>
    <mergeCell ref="H5:H6"/>
    <mergeCell ref="D4:E4"/>
    <mergeCell ref="B3:H3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  <rowBreaks count="2" manualBreakCount="2">
    <brk id="168" max="9" man="1"/>
    <brk id="2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отг (ПРАВИЛЬНА копія)</vt:lpstr>
      <vt:lpstr>отг</vt:lpstr>
      <vt:lpstr>отг!Заголовки_для_печати</vt:lpstr>
      <vt:lpstr>'отг (ПРАВИЛЬНА копія)'!Заголовки_для_печати</vt:lpstr>
      <vt:lpstr>отг!Область_печати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2022-05-16T07:05:47Z</cp:lastPrinted>
  <dcterms:created xsi:type="dcterms:W3CDTF">2000-03-10T09:14:16Z</dcterms:created>
  <dcterms:modified xsi:type="dcterms:W3CDTF">2022-07-11T12:42:49Z</dcterms:modified>
</cp:coreProperties>
</file>