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6" tabRatio="500"/>
  </bookViews>
  <sheets>
    <sheet name="ДОДАТОК 1" sheetId="1" r:id="rId1"/>
    <sheet name="ДОДАТОК 2" sheetId="2" r:id="rId2"/>
    <sheet name="ДОДАТОК 3" sheetId="4" r:id="rId3"/>
    <sheet name="ДОДАТОК 4" sheetId="8" r:id="rId4"/>
    <sheet name="ДОДАТОК 5" sheetId="9" r:id="rId5"/>
    <sheet name="ДОДАТОК 6" sheetId="10" r:id="rId6"/>
  </sheets>
  <definedNames>
    <definedName name="Data">'ДОДАТОК 1'!$A$14:$W$131</definedName>
    <definedName name="Date">'ДОДАТОК 1'!$A$6</definedName>
    <definedName name="Date1">'ДОДАТОК 1'!#REF!</definedName>
    <definedName name="EXCEL_VER">12</definedName>
    <definedName name="PRINT_DATE">"04.04.2019 11:36:23"</definedName>
    <definedName name="PRINTER">"Eксель_Імпорт (XlRpt)  ДержКазначейство ЦА, Копичко Олександр"</definedName>
    <definedName name="REP_CREATOR">"1313-MarkivO"</definedName>
    <definedName name="SignB">'ДОДАТОК 1'!#REF!</definedName>
    <definedName name="SignD">'ДОДАТОК 1'!#REF!</definedName>
    <definedName name="_xlnm.Print_Titles" localSheetId="0">'ДОДАТОК 1'!$10:$12</definedName>
    <definedName name="_xlnm.Print_Titles" localSheetId="1">'ДОДАТОК 2'!$9:$11</definedName>
    <definedName name="_xlnm.Print_Titles" localSheetId="3">'ДОДАТОК 4'!$12:$12</definedName>
    <definedName name="_xlnm.Print_Titles" localSheetId="4">'ДОДАТОК 5'!$8:$10</definedName>
    <definedName name="_xlnm.Print_Area" localSheetId="0">'ДОДАТОК 1'!$A$1:$K$134</definedName>
    <definedName name="_xlnm.Print_Area" localSheetId="1">'ДОДАТОК 2'!$A$1:$K$169</definedName>
    <definedName name="_xlnm.Print_Area" localSheetId="5">'ДОДАТОК 6'!$A$1:$K$17</definedName>
  </definedNames>
  <calcPr calcId="125725"/>
</workbook>
</file>

<file path=xl/calcChain.xml><?xml version="1.0" encoding="utf-8"?>
<calcChain xmlns="http://schemas.openxmlformats.org/spreadsheetml/2006/main">
  <c r="K14" i="10"/>
  <c r="K13"/>
  <c r="J14"/>
  <c r="I14" l="1"/>
  <c r="H14"/>
  <c r="G14"/>
  <c r="K26" i="4"/>
  <c r="H26"/>
  <c r="D26"/>
  <c r="C26"/>
  <c r="J25"/>
  <c r="G25"/>
  <c r="H25" s="1"/>
  <c r="C25"/>
  <c r="J24"/>
  <c r="K24" s="1"/>
  <c r="G24"/>
  <c r="H24" s="1"/>
  <c r="C24"/>
  <c r="L23"/>
  <c r="L22" s="1"/>
  <c r="I23"/>
  <c r="I22" s="1"/>
  <c r="G23"/>
  <c r="H23" s="1"/>
  <c r="F23"/>
  <c r="C18"/>
  <c r="C19"/>
  <c r="D19"/>
  <c r="C17"/>
  <c r="F16"/>
  <c r="O64" i="9"/>
  <c r="O59"/>
  <c r="O55"/>
  <c r="O44"/>
  <c r="N11"/>
  <c r="L73"/>
  <c r="M73"/>
  <c r="N73"/>
  <c r="O73"/>
  <c r="L79"/>
  <c r="M79"/>
  <c r="N79"/>
  <c r="O79"/>
  <c r="N28"/>
  <c r="C23" i="4" l="1"/>
  <c r="F15"/>
  <c r="F20" s="1"/>
  <c r="G22"/>
  <c r="G27" s="1"/>
  <c r="D24"/>
  <c r="E24" s="1"/>
  <c r="J23"/>
  <c r="K23" s="1"/>
  <c r="D25"/>
  <c r="E25" s="1"/>
  <c r="F22"/>
  <c r="D23"/>
  <c r="O11" i="9"/>
  <c r="N87"/>
  <c r="O87"/>
  <c r="J22" i="4" l="1"/>
  <c r="J27" s="1"/>
  <c r="K27" s="1"/>
  <c r="E23"/>
  <c r="D22"/>
  <c r="K22"/>
  <c r="H22"/>
  <c r="F27"/>
  <c r="H27" s="1"/>
  <c r="E22" l="1"/>
  <c r="D27"/>
  <c r="E27" s="1"/>
  <c r="J79" i="9" l="1"/>
  <c r="K84"/>
  <c r="K83"/>
  <c r="K82"/>
  <c r="K73"/>
  <c r="J73"/>
  <c r="K72"/>
  <c r="M70"/>
  <c r="K69"/>
  <c r="K68"/>
  <c r="K67"/>
  <c r="K66"/>
  <c r="K65"/>
  <c r="J65"/>
  <c r="M64"/>
  <c r="K64"/>
  <c r="K63"/>
  <c r="J63"/>
  <c r="M59"/>
  <c r="K58"/>
  <c r="M55"/>
  <c r="L55"/>
  <c r="K48"/>
  <c r="M44"/>
  <c r="M11" s="1"/>
  <c r="K39"/>
  <c r="K38"/>
  <c r="J38"/>
  <c r="K37"/>
  <c r="K35"/>
  <c r="K33"/>
  <c r="K31"/>
  <c r="K30"/>
  <c r="L28"/>
  <c r="J28"/>
  <c r="K27"/>
  <c r="K23" s="1"/>
  <c r="J23"/>
  <c r="K18"/>
  <c r="K16"/>
  <c r="K15"/>
  <c r="K14"/>
  <c r="K12"/>
  <c r="K28" l="1"/>
  <c r="K79"/>
  <c r="H86" l="1"/>
  <c r="G79"/>
  <c r="H85"/>
  <c r="I85" s="1"/>
  <c r="G85"/>
  <c r="H84"/>
  <c r="G84"/>
  <c r="H83"/>
  <c r="I83" s="1"/>
  <c r="G83"/>
  <c r="H82"/>
  <c r="G82"/>
  <c r="H81"/>
  <c r="I81" s="1"/>
  <c r="G81"/>
  <c r="H80"/>
  <c r="G80"/>
  <c r="H79"/>
  <c r="H78"/>
  <c r="G78"/>
  <c r="H77"/>
  <c r="G77"/>
  <c r="H76"/>
  <c r="G76"/>
  <c r="H75"/>
  <c r="G75"/>
  <c r="H74"/>
  <c r="G74"/>
  <c r="H72"/>
  <c r="G72"/>
  <c r="H71"/>
  <c r="G71"/>
  <c r="H70"/>
  <c r="G70"/>
  <c r="H69"/>
  <c r="G69"/>
  <c r="H68"/>
  <c r="G68"/>
  <c r="H67"/>
  <c r="G67"/>
  <c r="H66"/>
  <c r="G66"/>
  <c r="H65"/>
  <c r="H64"/>
  <c r="G64"/>
  <c r="H63"/>
  <c r="G63"/>
  <c r="H62"/>
  <c r="G62"/>
  <c r="H61"/>
  <c r="I61" s="1"/>
  <c r="G61"/>
  <c r="H60"/>
  <c r="G60"/>
  <c r="H59"/>
  <c r="I59" s="1"/>
  <c r="G59"/>
  <c r="H58"/>
  <c r="G58"/>
  <c r="H57"/>
  <c r="G57"/>
  <c r="H56"/>
  <c r="G56"/>
  <c r="H55"/>
  <c r="I55" s="1"/>
  <c r="G55"/>
  <c r="H54"/>
  <c r="I54" s="1"/>
  <c r="G54"/>
  <c r="H53"/>
  <c r="I53" s="1"/>
  <c r="G53"/>
  <c r="H52"/>
  <c r="I52" s="1"/>
  <c r="G52"/>
  <c r="H51"/>
  <c r="I51" s="1"/>
  <c r="G51"/>
  <c r="H50"/>
  <c r="G50"/>
  <c r="H49"/>
  <c r="I49" s="1"/>
  <c r="G49"/>
  <c r="H48"/>
  <c r="I48" s="1"/>
  <c r="G48"/>
  <c r="H47"/>
  <c r="I47" s="1"/>
  <c r="G47"/>
  <c r="H46"/>
  <c r="I46" s="1"/>
  <c r="G46"/>
  <c r="H45"/>
  <c r="I45" s="1"/>
  <c r="G45"/>
  <c r="H44"/>
  <c r="I44" s="1"/>
  <c r="G44"/>
  <c r="H43"/>
  <c r="I43" s="1"/>
  <c r="G43"/>
  <c r="H42"/>
  <c r="I42" s="1"/>
  <c r="G42"/>
  <c r="H41"/>
  <c r="I41" s="1"/>
  <c r="G41"/>
  <c r="H40"/>
  <c r="I40" s="1"/>
  <c r="G40"/>
  <c r="H39"/>
  <c r="I39" s="1"/>
  <c r="G39"/>
  <c r="H38"/>
  <c r="G38"/>
  <c r="H37"/>
  <c r="I37" s="1"/>
  <c r="G37"/>
  <c r="H36"/>
  <c r="I36" s="1"/>
  <c r="G36"/>
  <c r="H35"/>
  <c r="I35" s="1"/>
  <c r="G35"/>
  <c r="H34"/>
  <c r="I34" s="1"/>
  <c r="G34"/>
  <c r="H33"/>
  <c r="I33" s="1"/>
  <c r="G33"/>
  <c r="H32"/>
  <c r="I32" s="1"/>
  <c r="G32"/>
  <c r="H31"/>
  <c r="I31" s="1"/>
  <c r="G31"/>
  <c r="H28"/>
  <c r="G30"/>
  <c r="H29"/>
  <c r="L11"/>
  <c r="G28"/>
  <c r="H27"/>
  <c r="G27"/>
  <c r="H26"/>
  <c r="G26"/>
  <c r="H25"/>
  <c r="H24"/>
  <c r="H22"/>
  <c r="G22"/>
  <c r="H21"/>
  <c r="G21"/>
  <c r="H20"/>
  <c r="G20"/>
  <c r="H19"/>
  <c r="G19"/>
  <c r="H18"/>
  <c r="G18"/>
  <c r="H17"/>
  <c r="G17"/>
  <c r="H16"/>
  <c r="G16"/>
  <c r="H15"/>
  <c r="G15"/>
  <c r="H14"/>
  <c r="G14"/>
  <c r="H13"/>
  <c r="G13"/>
  <c r="H12"/>
  <c r="G12"/>
  <c r="I14" l="1"/>
  <c r="I67"/>
  <c r="I50"/>
  <c r="I84"/>
  <c r="I57"/>
  <c r="I12"/>
  <c r="I16"/>
  <c r="I18"/>
  <c r="I20"/>
  <c r="I22"/>
  <c r="I26"/>
  <c r="I56"/>
  <c r="I58"/>
  <c r="I60"/>
  <c r="I62"/>
  <c r="I80"/>
  <c r="I82"/>
  <c r="I63"/>
  <c r="I79"/>
  <c r="I69"/>
  <c r="I38"/>
  <c r="I71"/>
  <c r="I74"/>
  <c r="I76"/>
  <c r="I78"/>
  <c r="I28"/>
  <c r="I64"/>
  <c r="I13"/>
  <c r="I15"/>
  <c r="I17"/>
  <c r="I19"/>
  <c r="I21"/>
  <c r="I27"/>
  <c r="I66"/>
  <c r="I68"/>
  <c r="I70"/>
  <c r="I72"/>
  <c r="I75"/>
  <c r="I77"/>
  <c r="H23"/>
  <c r="K11"/>
  <c r="L87"/>
  <c r="M87"/>
  <c r="H30"/>
  <c r="I30" s="1"/>
  <c r="G65"/>
  <c r="I65" s="1"/>
  <c r="G73"/>
  <c r="G86"/>
  <c r="I86" s="1"/>
  <c r="H73"/>
  <c r="H11" l="1"/>
  <c r="I73"/>
  <c r="K87"/>
  <c r="H87" s="1"/>
  <c r="G25"/>
  <c r="I25" s="1"/>
  <c r="J11" l="1"/>
  <c r="G23"/>
  <c r="I23" s="1"/>
  <c r="G11" l="1"/>
  <c r="I11" s="1"/>
  <c r="J87"/>
  <c r="G87" s="1"/>
  <c r="I87" s="1"/>
  <c r="L16" i="4" l="1"/>
  <c r="L15" s="1"/>
  <c r="I16"/>
  <c r="K19"/>
  <c r="J17"/>
  <c r="K17" s="1"/>
  <c r="J18"/>
  <c r="I15" l="1"/>
  <c r="C16"/>
  <c r="J16"/>
  <c r="H19"/>
  <c r="G18"/>
  <c r="D18" s="1"/>
  <c r="E18" s="1"/>
  <c r="G17"/>
  <c r="H18" l="1"/>
  <c r="D17"/>
  <c r="E17" s="1"/>
  <c r="G16"/>
  <c r="K16"/>
  <c r="J15"/>
  <c r="H17"/>
  <c r="E109" i="8"/>
  <c r="F109" s="1"/>
  <c r="E108"/>
  <c r="E107"/>
  <c r="F107" s="1"/>
  <c r="E106"/>
  <c r="E105"/>
  <c r="F105" s="1"/>
  <c r="E104"/>
  <c r="E103"/>
  <c r="E49"/>
  <c r="E45"/>
  <c r="E50" s="1"/>
  <c r="F50" s="1"/>
  <c r="E47"/>
  <c r="F83"/>
  <c r="E84"/>
  <c r="F84" s="1"/>
  <c r="E88"/>
  <c r="E89"/>
  <c r="E90"/>
  <c r="E91"/>
  <c r="F91" s="1"/>
  <c r="E92"/>
  <c r="F92" s="1"/>
  <c r="E93"/>
  <c r="F93" s="1"/>
  <c r="E94"/>
  <c r="F94" s="1"/>
  <c r="E95"/>
  <c r="F95" s="1"/>
  <c r="E96"/>
  <c r="F96" s="1"/>
  <c r="E97"/>
  <c r="E98"/>
  <c r="E99"/>
  <c r="E100"/>
  <c r="E87"/>
  <c r="E78"/>
  <c r="F78" s="1"/>
  <c r="F76"/>
  <c r="E77"/>
  <c r="F77" s="1"/>
  <c r="E75"/>
  <c r="E73"/>
  <c r="F73" s="1"/>
  <c r="E72"/>
  <c r="E60"/>
  <c r="F60" s="1"/>
  <c r="E61"/>
  <c r="F61" s="1"/>
  <c r="E62"/>
  <c r="E57" s="1"/>
  <c r="F57" s="1"/>
  <c r="E63"/>
  <c r="F63" s="1"/>
  <c r="E64"/>
  <c r="F64" s="1"/>
  <c r="E65"/>
  <c r="F65" s="1"/>
  <c r="E66"/>
  <c r="F66" s="1"/>
  <c r="E67"/>
  <c r="F67" s="1"/>
  <c r="E68"/>
  <c r="F68" s="1"/>
  <c r="E69"/>
  <c r="E70"/>
  <c r="F70" s="1"/>
  <c r="E71"/>
  <c r="F71" s="1"/>
  <c r="E59"/>
  <c r="F59" s="1"/>
  <c r="E42"/>
  <c r="F42" s="1"/>
  <c r="E40"/>
  <c r="F40" s="1"/>
  <c r="E37"/>
  <c r="E35"/>
  <c r="E33"/>
  <c r="E31"/>
  <c r="F31" s="1"/>
  <c r="E28"/>
  <c r="E26"/>
  <c r="F26" s="1"/>
  <c r="E22"/>
  <c r="F22" s="1"/>
  <c r="E20"/>
  <c r="E18"/>
  <c r="E16"/>
  <c r="F16"/>
  <c r="F17"/>
  <c r="F18"/>
  <c r="F19"/>
  <c r="F20"/>
  <c r="F21"/>
  <c r="F23"/>
  <c r="F24"/>
  <c r="F25"/>
  <c r="F27"/>
  <c r="F28"/>
  <c r="F29"/>
  <c r="F30"/>
  <c r="F32"/>
  <c r="F33"/>
  <c r="F34"/>
  <c r="F35"/>
  <c r="F36"/>
  <c r="F37"/>
  <c r="F39"/>
  <c r="F41"/>
  <c r="F43"/>
  <c r="F44"/>
  <c r="F45"/>
  <c r="F46"/>
  <c r="F47"/>
  <c r="F49"/>
  <c r="F69"/>
  <c r="F72"/>
  <c r="F75"/>
  <c r="F79"/>
  <c r="F82"/>
  <c r="F87"/>
  <c r="F88"/>
  <c r="F89"/>
  <c r="F90"/>
  <c r="F97"/>
  <c r="F98"/>
  <c r="F99"/>
  <c r="F100"/>
  <c r="F103"/>
  <c r="F104"/>
  <c r="F106"/>
  <c r="F108"/>
  <c r="F15"/>
  <c r="D106"/>
  <c r="D104"/>
  <c r="D109" s="1"/>
  <c r="D85"/>
  <c r="D80" s="1"/>
  <c r="D78"/>
  <c r="D73"/>
  <c r="D57"/>
  <c r="D72" s="1"/>
  <c r="D47"/>
  <c r="D45"/>
  <c r="D50" s="1"/>
  <c r="D42"/>
  <c r="D40"/>
  <c r="D37"/>
  <c r="D35"/>
  <c r="D33"/>
  <c r="D31"/>
  <c r="D28"/>
  <c r="D26"/>
  <c r="D21"/>
  <c r="D49" s="1"/>
  <c r="D19"/>
  <c r="D20" s="1"/>
  <c r="D18"/>
  <c r="D16"/>
  <c r="G15" i="4" l="1"/>
  <c r="D16"/>
  <c r="H16"/>
  <c r="J20"/>
  <c r="K20" s="1"/>
  <c r="K15"/>
  <c r="E48" i="8"/>
  <c r="F48" s="1"/>
  <c r="E85"/>
  <c r="E80" s="1"/>
  <c r="F85"/>
  <c r="F62"/>
  <c r="D48"/>
  <c r="D108"/>
  <c r="D107" s="1"/>
  <c r="D101"/>
  <c r="D22"/>
  <c r="G20" i="4" l="1"/>
  <c r="H20" s="1"/>
  <c r="H15"/>
  <c r="E16"/>
  <c r="D15"/>
  <c r="F80" i="8"/>
  <c r="E101"/>
  <c r="F101" s="1"/>
  <c r="D20" i="4" l="1"/>
  <c r="E20" s="1"/>
  <c r="E15"/>
  <c r="H30" i="2"/>
  <c r="H37"/>
  <c r="E37"/>
  <c r="H38"/>
  <c r="H45"/>
  <c r="H81"/>
  <c r="H90"/>
  <c r="H165"/>
  <c r="F20" l="1"/>
  <c r="F100"/>
  <c r="D108"/>
  <c r="G98"/>
  <c r="J66"/>
  <c r="I66"/>
  <c r="E66"/>
  <c r="G65"/>
  <c r="F65"/>
  <c r="D65"/>
  <c r="J65" s="1"/>
  <c r="C65"/>
  <c r="G47"/>
  <c r="F47"/>
  <c r="I47" s="1"/>
  <c r="D47"/>
  <c r="C47"/>
  <c r="J48"/>
  <c r="I48"/>
  <c r="G36"/>
  <c r="F36"/>
  <c r="H112" i="1"/>
  <c r="H121"/>
  <c r="D119"/>
  <c r="C119"/>
  <c r="J123"/>
  <c r="I123"/>
  <c r="E123"/>
  <c r="G111"/>
  <c r="F111"/>
  <c r="D111"/>
  <c r="C111"/>
  <c r="J112"/>
  <c r="I112"/>
  <c r="E112"/>
  <c r="H111" l="1"/>
  <c r="I65" i="2"/>
  <c r="K48"/>
  <c r="E65"/>
  <c r="K65"/>
  <c r="K66"/>
  <c r="J47"/>
  <c r="K47" s="1"/>
  <c r="K123" i="1"/>
  <c r="K112"/>
  <c r="H14" i="2"/>
  <c r="H50"/>
  <c r="H95"/>
  <c r="H146"/>
  <c r="H144"/>
  <c r="F98"/>
  <c r="J99"/>
  <c r="I99"/>
  <c r="H99"/>
  <c r="C44"/>
  <c r="E128" i="1"/>
  <c r="I128"/>
  <c r="J128"/>
  <c r="J130"/>
  <c r="I130"/>
  <c r="E130"/>
  <c r="D154" i="2"/>
  <c r="C154"/>
  <c r="H57"/>
  <c r="D98"/>
  <c r="C98"/>
  <c r="D103"/>
  <c r="H102"/>
  <c r="J93"/>
  <c r="I93"/>
  <c r="E93"/>
  <c r="E39"/>
  <c r="J35"/>
  <c r="J37"/>
  <c r="J38"/>
  <c r="J39"/>
  <c r="I35"/>
  <c r="I37"/>
  <c r="I38"/>
  <c r="I39"/>
  <c r="D21"/>
  <c r="G19"/>
  <c r="F19"/>
  <c r="D19"/>
  <c r="C19"/>
  <c r="E20"/>
  <c r="K93" l="1"/>
  <c r="K99"/>
  <c r="K128" i="1"/>
  <c r="K130"/>
  <c r="K37" i="2"/>
  <c r="K38"/>
  <c r="K35"/>
  <c r="K39"/>
  <c r="D59"/>
  <c r="C67" i="1"/>
  <c r="G108" i="2"/>
  <c r="F108"/>
  <c r="G111"/>
  <c r="F111"/>
  <c r="H46"/>
  <c r="H43"/>
  <c r="E45"/>
  <c r="H106"/>
  <c r="E165"/>
  <c r="G115"/>
  <c r="J46"/>
  <c r="I46"/>
  <c r="J45"/>
  <c r="I45"/>
  <c r="G44"/>
  <c r="F44"/>
  <c r="D44"/>
  <c r="C16" i="1"/>
  <c r="D16"/>
  <c r="J21"/>
  <c r="I21"/>
  <c r="E100" i="2"/>
  <c r="H147"/>
  <c r="C139"/>
  <c r="D139"/>
  <c r="G132"/>
  <c r="F132"/>
  <c r="D132"/>
  <c r="C132"/>
  <c r="J133"/>
  <c r="I133"/>
  <c r="E133"/>
  <c r="D87"/>
  <c r="G41"/>
  <c r="F41"/>
  <c r="J43"/>
  <c r="I43"/>
  <c r="J42"/>
  <c r="I42"/>
  <c r="H42"/>
  <c r="D41"/>
  <c r="C41"/>
  <c r="J129" i="1"/>
  <c r="I129"/>
  <c r="E129"/>
  <c r="G103"/>
  <c r="F103"/>
  <c r="D103"/>
  <c r="C103"/>
  <c r="J105"/>
  <c r="I105"/>
  <c r="D79"/>
  <c r="H27" i="2"/>
  <c r="I132" l="1"/>
  <c r="E44"/>
  <c r="I44"/>
  <c r="H44"/>
  <c r="K129" i="1"/>
  <c r="J44" i="2"/>
  <c r="K46"/>
  <c r="K133"/>
  <c r="J132"/>
  <c r="E132"/>
  <c r="K43"/>
  <c r="H41"/>
  <c r="J41"/>
  <c r="I41"/>
  <c r="K42"/>
  <c r="H83"/>
  <c r="K132" l="1"/>
  <c r="K44"/>
  <c r="K41"/>
  <c r="G142"/>
  <c r="F142"/>
  <c r="H112"/>
  <c r="E112"/>
  <c r="D111"/>
  <c r="J101"/>
  <c r="I101"/>
  <c r="E101"/>
  <c r="G91"/>
  <c r="F91"/>
  <c r="D91"/>
  <c r="C91"/>
  <c r="G67"/>
  <c r="F67"/>
  <c r="J76"/>
  <c r="I76"/>
  <c r="E76"/>
  <c r="K101" l="1"/>
  <c r="K76"/>
  <c r="E92" l="1"/>
  <c r="C108"/>
  <c r="J92"/>
  <c r="I92"/>
  <c r="E68" i="1"/>
  <c r="C129" i="2"/>
  <c r="C128" s="1"/>
  <c r="D129"/>
  <c r="D128" s="1"/>
  <c r="F129"/>
  <c r="F128" s="1"/>
  <c r="J31"/>
  <c r="I31"/>
  <c r="E31"/>
  <c r="G29"/>
  <c r="F29"/>
  <c r="D29"/>
  <c r="C29"/>
  <c r="H143"/>
  <c r="H150"/>
  <c r="C84"/>
  <c r="D84"/>
  <c r="H33"/>
  <c r="E163"/>
  <c r="G162"/>
  <c r="F162"/>
  <c r="D162"/>
  <c r="C162"/>
  <c r="J163"/>
  <c r="I163"/>
  <c r="H29" l="1"/>
  <c r="H162"/>
  <c r="J91"/>
  <c r="I91"/>
  <c r="E91"/>
  <c r="K92"/>
  <c r="K31"/>
  <c r="K163"/>
  <c r="G145"/>
  <c r="F145"/>
  <c r="D145"/>
  <c r="C145"/>
  <c r="J147"/>
  <c r="I147"/>
  <c r="E147"/>
  <c r="H145" l="1"/>
  <c r="K91"/>
  <c r="K147"/>
  <c r="D38" i="1"/>
  <c r="C38"/>
  <c r="E40"/>
  <c r="E39"/>
  <c r="J40"/>
  <c r="I40"/>
  <c r="J39"/>
  <c r="I39"/>
  <c r="E23"/>
  <c r="J109" i="2"/>
  <c r="I109"/>
  <c r="E109"/>
  <c r="G94"/>
  <c r="F94"/>
  <c r="C87"/>
  <c r="J77"/>
  <c r="I77"/>
  <c r="E77"/>
  <c r="C78"/>
  <c r="D78"/>
  <c r="F78"/>
  <c r="G78"/>
  <c r="J26"/>
  <c r="I26"/>
  <c r="G25"/>
  <c r="F25"/>
  <c r="E26"/>
  <c r="D25"/>
  <c r="C25"/>
  <c r="H94" l="1"/>
  <c r="J25"/>
  <c r="K77"/>
  <c r="K40" i="1"/>
  <c r="K39"/>
  <c r="I25" i="2"/>
  <c r="K109"/>
  <c r="I78"/>
  <c r="J78"/>
  <c r="E78"/>
  <c r="E25"/>
  <c r="K26"/>
  <c r="K25" l="1"/>
  <c r="K78"/>
  <c r="E15" l="1"/>
  <c r="D67" i="1"/>
  <c r="E67" s="1"/>
  <c r="J137" i="2" l="1"/>
  <c r="I137"/>
  <c r="H137"/>
  <c r="G129"/>
  <c r="G128" s="1"/>
  <c r="J131"/>
  <c r="I131"/>
  <c r="H131"/>
  <c r="J106"/>
  <c r="I106"/>
  <c r="G105"/>
  <c r="F105"/>
  <c r="D105"/>
  <c r="C105"/>
  <c r="J70"/>
  <c r="I70"/>
  <c r="E70"/>
  <c r="D69"/>
  <c r="J69" s="1"/>
  <c r="C69"/>
  <c r="J24"/>
  <c r="I24"/>
  <c r="E24"/>
  <c r="G23"/>
  <c r="F23"/>
  <c r="D23"/>
  <c r="C23"/>
  <c r="H114" i="1"/>
  <c r="H125"/>
  <c r="G108"/>
  <c r="F108"/>
  <c r="F107" s="1"/>
  <c r="I101"/>
  <c r="J101"/>
  <c r="G100"/>
  <c r="F100"/>
  <c r="I100" s="1"/>
  <c r="G107" l="1"/>
  <c r="H107" s="1"/>
  <c r="H108"/>
  <c r="H105" i="2"/>
  <c r="J23"/>
  <c r="E69"/>
  <c r="I23"/>
  <c r="I105"/>
  <c r="K137"/>
  <c r="K131"/>
  <c r="J105"/>
  <c r="K106"/>
  <c r="K70"/>
  <c r="I69"/>
  <c r="K69" s="1"/>
  <c r="E23"/>
  <c r="K24"/>
  <c r="J100" i="1"/>
  <c r="G119"/>
  <c r="F119"/>
  <c r="J125"/>
  <c r="I125"/>
  <c r="J118"/>
  <c r="I118"/>
  <c r="E118"/>
  <c r="D116"/>
  <c r="C116"/>
  <c r="G116"/>
  <c r="F116"/>
  <c r="E38" i="2"/>
  <c r="G125"/>
  <c r="G113" s="1"/>
  <c r="F125"/>
  <c r="I125" s="1"/>
  <c r="J126"/>
  <c r="I126"/>
  <c r="H126"/>
  <c r="G97"/>
  <c r="E98"/>
  <c r="J75"/>
  <c r="I75"/>
  <c r="E75"/>
  <c r="G74"/>
  <c r="F74"/>
  <c r="D74"/>
  <c r="C74"/>
  <c r="J71"/>
  <c r="I71"/>
  <c r="E71"/>
  <c r="C51"/>
  <c r="D51"/>
  <c r="D36"/>
  <c r="E36" s="1"/>
  <c r="C36"/>
  <c r="E124" i="1"/>
  <c r="H127"/>
  <c r="J121"/>
  <c r="I121"/>
  <c r="D69"/>
  <c r="C69"/>
  <c r="J70"/>
  <c r="I70"/>
  <c r="D28"/>
  <c r="J28" s="1"/>
  <c r="C28"/>
  <c r="J29"/>
  <c r="I29"/>
  <c r="H136" i="2"/>
  <c r="H64"/>
  <c r="E50"/>
  <c r="E52"/>
  <c r="E53"/>
  <c r="E104"/>
  <c r="E110"/>
  <c r="E149"/>
  <c r="F115"/>
  <c r="G123"/>
  <c r="J123" s="1"/>
  <c r="I123"/>
  <c r="I124"/>
  <c r="J124"/>
  <c r="C148"/>
  <c r="J127"/>
  <c r="I127"/>
  <c r="H127"/>
  <c r="J121"/>
  <c r="I121"/>
  <c r="H121"/>
  <c r="J117"/>
  <c r="I117"/>
  <c r="H117"/>
  <c r="G103"/>
  <c r="F103"/>
  <c r="D97"/>
  <c r="C103"/>
  <c r="J104"/>
  <c r="I104"/>
  <c r="F97"/>
  <c r="D67"/>
  <c r="G63"/>
  <c r="F113" l="1"/>
  <c r="J36"/>
  <c r="K23"/>
  <c r="I36"/>
  <c r="K105"/>
  <c r="C97"/>
  <c r="H119" i="1"/>
  <c r="H142" i="2"/>
  <c r="K71"/>
  <c r="K125" i="1"/>
  <c r="K121"/>
  <c r="K118"/>
  <c r="E103" i="2"/>
  <c r="K126"/>
  <c r="I74"/>
  <c r="K75"/>
  <c r="J74"/>
  <c r="E74"/>
  <c r="K123"/>
  <c r="K124"/>
  <c r="I103"/>
  <c r="H125"/>
  <c r="I28" i="1"/>
  <c r="J103" i="2"/>
  <c r="K117"/>
  <c r="J125"/>
  <c r="K125" s="1"/>
  <c r="K127"/>
  <c r="K121"/>
  <c r="K104"/>
  <c r="K36" l="1"/>
  <c r="H113"/>
  <c r="K74"/>
  <c r="K103"/>
  <c r="G13"/>
  <c r="F13"/>
  <c r="D13"/>
  <c r="C13"/>
  <c r="J16"/>
  <c r="I16"/>
  <c r="E16"/>
  <c r="H126" i="1"/>
  <c r="J126"/>
  <c r="I126"/>
  <c r="D87"/>
  <c r="H13" i="2" l="1"/>
  <c r="K16"/>
  <c r="K126" i="1"/>
  <c r="J155" i="2"/>
  <c r="I155"/>
  <c r="E155"/>
  <c r="D151"/>
  <c r="C151"/>
  <c r="J152"/>
  <c r="I152"/>
  <c r="E152"/>
  <c r="J136"/>
  <c r="I136"/>
  <c r="J120"/>
  <c r="I120"/>
  <c r="H120"/>
  <c r="J119"/>
  <c r="I119"/>
  <c r="H119"/>
  <c r="J118"/>
  <c r="I118"/>
  <c r="H118"/>
  <c r="G89"/>
  <c r="F89"/>
  <c r="F86" s="1"/>
  <c r="D89"/>
  <c r="C89"/>
  <c r="J90"/>
  <c r="I90"/>
  <c r="E90"/>
  <c r="F63"/>
  <c r="H63" s="1"/>
  <c r="C63"/>
  <c r="J79"/>
  <c r="I79"/>
  <c r="E79"/>
  <c r="J73"/>
  <c r="I73"/>
  <c r="E73"/>
  <c r="J72"/>
  <c r="I72"/>
  <c r="E72"/>
  <c r="G59"/>
  <c r="G58" s="1"/>
  <c r="F59"/>
  <c r="C59"/>
  <c r="J62"/>
  <c r="I62"/>
  <c r="E62"/>
  <c r="J61"/>
  <c r="I61"/>
  <c r="E61"/>
  <c r="J50"/>
  <c r="I50"/>
  <c r="D56"/>
  <c r="C56"/>
  <c r="C54"/>
  <c r="J57"/>
  <c r="E57"/>
  <c r="G56"/>
  <c r="F56"/>
  <c r="F49" s="1"/>
  <c r="G51"/>
  <c r="F51"/>
  <c r="E51"/>
  <c r="D32"/>
  <c r="D17" s="1"/>
  <c r="C32"/>
  <c r="J34"/>
  <c r="I34"/>
  <c r="E34"/>
  <c r="G32"/>
  <c r="F32"/>
  <c r="J33"/>
  <c r="I33"/>
  <c r="E33"/>
  <c r="H20"/>
  <c r="I20"/>
  <c r="J20"/>
  <c r="G21"/>
  <c r="G17" s="1"/>
  <c r="F21"/>
  <c r="C21"/>
  <c r="C17" s="1"/>
  <c r="J30"/>
  <c r="J29" s="1"/>
  <c r="I30"/>
  <c r="I29" s="1"/>
  <c r="E30"/>
  <c r="J22"/>
  <c r="I22"/>
  <c r="E22"/>
  <c r="G86" l="1"/>
  <c r="H86" s="1"/>
  <c r="H89"/>
  <c r="H56"/>
  <c r="F17"/>
  <c r="G49"/>
  <c r="H49" s="1"/>
  <c r="F58"/>
  <c r="H32"/>
  <c r="K50"/>
  <c r="E56"/>
  <c r="K72"/>
  <c r="I19"/>
  <c r="I89"/>
  <c r="K73"/>
  <c r="K152"/>
  <c r="C49"/>
  <c r="K155"/>
  <c r="J19"/>
  <c r="K136"/>
  <c r="K120"/>
  <c r="J56"/>
  <c r="I56"/>
  <c r="K61"/>
  <c r="J89"/>
  <c r="K119"/>
  <c r="K118"/>
  <c r="E89"/>
  <c r="K90"/>
  <c r="K79"/>
  <c r="K62"/>
  <c r="I54"/>
  <c r="I55"/>
  <c r="E55"/>
  <c r="I57"/>
  <c r="K57" s="1"/>
  <c r="K34"/>
  <c r="K22"/>
  <c r="K33"/>
  <c r="K20"/>
  <c r="I21"/>
  <c r="H19"/>
  <c r="E19"/>
  <c r="J21"/>
  <c r="E21"/>
  <c r="E29"/>
  <c r="K30"/>
  <c r="J120" i="1"/>
  <c r="I120"/>
  <c r="E120"/>
  <c r="D109"/>
  <c r="C109"/>
  <c r="G66"/>
  <c r="F66"/>
  <c r="J68"/>
  <c r="I68"/>
  <c r="J67"/>
  <c r="I67"/>
  <c r="G92"/>
  <c r="F92"/>
  <c r="J94"/>
  <c r="I94"/>
  <c r="H94"/>
  <c r="F87"/>
  <c r="F86" s="1"/>
  <c r="C87"/>
  <c r="J90"/>
  <c r="I90"/>
  <c r="D66"/>
  <c r="C66"/>
  <c r="J72"/>
  <c r="I72"/>
  <c r="D22"/>
  <c r="C22"/>
  <c r="J23"/>
  <c r="I23"/>
  <c r="D142" i="2"/>
  <c r="C142"/>
  <c r="J143"/>
  <c r="I143"/>
  <c r="E143"/>
  <c r="G87" i="1"/>
  <c r="G102"/>
  <c r="G99" s="1"/>
  <c r="F102"/>
  <c r="F99" s="1"/>
  <c r="J95"/>
  <c r="I95"/>
  <c r="J73"/>
  <c r="I73"/>
  <c r="J124"/>
  <c r="I124"/>
  <c r="K67" l="1"/>
  <c r="K68"/>
  <c r="K19" i="2"/>
  <c r="K23" i="1"/>
  <c r="K124"/>
  <c r="J22"/>
  <c r="E22"/>
  <c r="E162" i="2"/>
  <c r="K56"/>
  <c r="H58"/>
  <c r="K21"/>
  <c r="K89"/>
  <c r="K29"/>
  <c r="K94" i="1"/>
  <c r="J55" i="2"/>
  <c r="K55" s="1"/>
  <c r="D54"/>
  <c r="D49" s="1"/>
  <c r="E49" s="1"/>
  <c r="K143"/>
  <c r="K120" i="1"/>
  <c r="I22"/>
  <c r="G86"/>
  <c r="D159" i="2"/>
  <c r="C159"/>
  <c r="G148"/>
  <c r="G141" s="1"/>
  <c r="F148"/>
  <c r="F141" s="1"/>
  <c r="D148"/>
  <c r="E148" s="1"/>
  <c r="D134"/>
  <c r="C134"/>
  <c r="D115"/>
  <c r="D113" s="1"/>
  <c r="C115"/>
  <c r="C113" s="1"/>
  <c r="C111"/>
  <c r="E111" s="1"/>
  <c r="D94"/>
  <c r="D86" s="1"/>
  <c r="C94"/>
  <c r="C86" s="1"/>
  <c r="D80"/>
  <c r="C80"/>
  <c r="C67"/>
  <c r="C58" s="1"/>
  <c r="D63"/>
  <c r="D58" s="1"/>
  <c r="D108" i="1"/>
  <c r="D107" s="1"/>
  <c r="C108"/>
  <c r="C107" s="1"/>
  <c r="D86"/>
  <c r="C86"/>
  <c r="D81"/>
  <c r="C81"/>
  <c r="C79"/>
  <c r="D75"/>
  <c r="C75"/>
  <c r="G61"/>
  <c r="G60" s="1"/>
  <c r="G14" s="1"/>
  <c r="F61"/>
  <c r="F60" s="1"/>
  <c r="F14" s="1"/>
  <c r="D56"/>
  <c r="C56"/>
  <c r="D53"/>
  <c r="C53"/>
  <c r="D42"/>
  <c r="C42"/>
  <c r="D36"/>
  <c r="C36"/>
  <c r="D34"/>
  <c r="C34"/>
  <c r="D30"/>
  <c r="C30"/>
  <c r="D25"/>
  <c r="C25"/>
  <c r="C15"/>
  <c r="D15"/>
  <c r="G139" i="2"/>
  <c r="G134" s="1"/>
  <c r="G107" s="1"/>
  <c r="F139"/>
  <c r="F134" s="1"/>
  <c r="F107" s="1"/>
  <c r="K22" i="1" l="1"/>
  <c r="C107" i="2"/>
  <c r="D107"/>
  <c r="D24" i="1"/>
  <c r="E108" i="2"/>
  <c r="C24" i="1"/>
  <c r="D33"/>
  <c r="J54" i="2"/>
  <c r="K54" s="1"/>
  <c r="E54"/>
  <c r="C141"/>
  <c r="C74" i="1"/>
  <c r="C65" s="1"/>
  <c r="C33"/>
  <c r="C41"/>
  <c r="D141" i="2"/>
  <c r="D74" i="1"/>
  <c r="D65" s="1"/>
  <c r="D41"/>
  <c r="E32"/>
  <c r="J110"/>
  <c r="I110"/>
  <c r="J109"/>
  <c r="I109"/>
  <c r="J32"/>
  <c r="I32"/>
  <c r="H98"/>
  <c r="H97"/>
  <c r="H93"/>
  <c r="E110"/>
  <c r="E109"/>
  <c r="E31"/>
  <c r="E30"/>
  <c r="J161" i="2"/>
  <c r="J154"/>
  <c r="J64"/>
  <c r="J49"/>
  <c r="I161"/>
  <c r="I64"/>
  <c r="I53"/>
  <c r="I52"/>
  <c r="I49"/>
  <c r="E154"/>
  <c r="J112"/>
  <c r="I112"/>
  <c r="J111"/>
  <c r="I111"/>
  <c r="J53"/>
  <c r="J52"/>
  <c r="J95"/>
  <c r="I95"/>
  <c r="I154"/>
  <c r="E83"/>
  <c r="I83"/>
  <c r="J83"/>
  <c r="E64"/>
  <c r="E95"/>
  <c r="G96" i="1"/>
  <c r="G91" s="1"/>
  <c r="F96"/>
  <c r="F91" s="1"/>
  <c r="J98"/>
  <c r="I98"/>
  <c r="J97"/>
  <c r="I97"/>
  <c r="J93"/>
  <c r="I93"/>
  <c r="G80" i="2"/>
  <c r="G156" s="1"/>
  <c r="K53" l="1"/>
  <c r="K52"/>
  <c r="K49"/>
  <c r="C14" i="1"/>
  <c r="C106" s="1"/>
  <c r="C115" s="1"/>
  <c r="C131" s="1"/>
  <c r="D14"/>
  <c r="D106" s="1"/>
  <c r="D115" s="1"/>
  <c r="D131" s="1"/>
  <c r="K109"/>
  <c r="D156" i="2"/>
  <c r="D158" s="1"/>
  <c r="D166" s="1"/>
  <c r="K95"/>
  <c r="K64"/>
  <c r="K98" i="1"/>
  <c r="K32"/>
  <c r="K110"/>
  <c r="K97"/>
  <c r="K93"/>
  <c r="C156" i="2"/>
  <c r="C158" s="1"/>
  <c r="K154"/>
  <c r="K83"/>
  <c r="J122" i="1"/>
  <c r="I122"/>
  <c r="E122"/>
  <c r="K122" l="1"/>
  <c r="F65"/>
  <c r="F106" s="1"/>
  <c r="F115" s="1"/>
  <c r="F131" s="1"/>
  <c r="G65"/>
  <c r="G106" s="1"/>
  <c r="G115" s="1"/>
  <c r="G131" s="1"/>
  <c r="G158" i="2" l="1"/>
  <c r="G166" s="1"/>
  <c r="F80"/>
  <c r="F156" s="1"/>
  <c r="H100"/>
  <c r="H98"/>
  <c r="H91" i="1"/>
  <c r="J26"/>
  <c r="I26"/>
  <c r="E27"/>
  <c r="E26"/>
  <c r="J63" i="2"/>
  <c r="I63"/>
  <c r="J51"/>
  <c r="I51"/>
  <c r="J40"/>
  <c r="I40"/>
  <c r="J32"/>
  <c r="I32"/>
  <c r="E63"/>
  <c r="E40"/>
  <c r="E35"/>
  <c r="E32"/>
  <c r="E128"/>
  <c r="J15"/>
  <c r="I15"/>
  <c r="H80" l="1"/>
  <c r="F158"/>
  <c r="F166" s="1"/>
  <c r="K51"/>
  <c r="K63"/>
  <c r="K26" i="1"/>
  <c r="K32" i="2"/>
  <c r="K40"/>
  <c r="K15"/>
  <c r="J128"/>
  <c r="I128"/>
  <c r="K128" l="1"/>
  <c r="J127" i="1"/>
  <c r="I127"/>
  <c r="J89"/>
  <c r="I89"/>
  <c r="E127"/>
  <c r="I17" i="2"/>
  <c r="J17"/>
  <c r="I18"/>
  <c r="J18"/>
  <c r="I27"/>
  <c r="J27"/>
  <c r="I28"/>
  <c r="J28"/>
  <c r="I58"/>
  <c r="J58"/>
  <c r="I59"/>
  <c r="J59"/>
  <c r="I60"/>
  <c r="J60"/>
  <c r="I67"/>
  <c r="J67"/>
  <c r="I68"/>
  <c r="J68"/>
  <c r="I80"/>
  <c r="J80"/>
  <c r="I81"/>
  <c r="J81"/>
  <c r="I82"/>
  <c r="J82"/>
  <c r="I84"/>
  <c r="J84"/>
  <c r="I85"/>
  <c r="J85"/>
  <c r="I86"/>
  <c r="J86"/>
  <c r="I87"/>
  <c r="J87"/>
  <c r="I88"/>
  <c r="J88"/>
  <c r="I94"/>
  <c r="J94"/>
  <c r="I96"/>
  <c r="J96"/>
  <c r="I97"/>
  <c r="J97"/>
  <c r="I98"/>
  <c r="J98"/>
  <c r="I100"/>
  <c r="J100"/>
  <c r="I102"/>
  <c r="J102"/>
  <c r="J107"/>
  <c r="I108"/>
  <c r="J108"/>
  <c r="I110"/>
  <c r="J110"/>
  <c r="I113"/>
  <c r="J113"/>
  <c r="I114"/>
  <c r="J114"/>
  <c r="I115"/>
  <c r="J115"/>
  <c r="I116"/>
  <c r="J116"/>
  <c r="I122"/>
  <c r="J122"/>
  <c r="I129"/>
  <c r="J129"/>
  <c r="I130"/>
  <c r="J130"/>
  <c r="I134"/>
  <c r="J134"/>
  <c r="I135"/>
  <c r="J135"/>
  <c r="I138"/>
  <c r="J138"/>
  <c r="I139"/>
  <c r="J139"/>
  <c r="I140"/>
  <c r="J140"/>
  <c r="I141"/>
  <c r="J141"/>
  <c r="I142"/>
  <c r="J142"/>
  <c r="I144"/>
  <c r="J144"/>
  <c r="I145"/>
  <c r="J145"/>
  <c r="I146"/>
  <c r="J146"/>
  <c r="I148"/>
  <c r="J148"/>
  <c r="I149"/>
  <c r="J149"/>
  <c r="I150"/>
  <c r="J150"/>
  <c r="I151"/>
  <c r="J151"/>
  <c r="I153"/>
  <c r="J153"/>
  <c r="I157"/>
  <c r="J157"/>
  <c r="I159"/>
  <c r="J159"/>
  <c r="I160"/>
  <c r="J160"/>
  <c r="J162"/>
  <c r="I164"/>
  <c r="J164"/>
  <c r="I165"/>
  <c r="J165"/>
  <c r="I14"/>
  <c r="J14"/>
  <c r="J13"/>
  <c r="I13"/>
  <c r="H17"/>
  <c r="H18"/>
  <c r="H28"/>
  <c r="H97"/>
  <c r="H114"/>
  <c r="H115"/>
  <c r="H116"/>
  <c r="H122"/>
  <c r="H134"/>
  <c r="H141"/>
  <c r="H148"/>
  <c r="E14"/>
  <c r="E17"/>
  <c r="E18"/>
  <c r="E27"/>
  <c r="E28"/>
  <c r="E58"/>
  <c r="E59"/>
  <c r="E60"/>
  <c r="E67"/>
  <c r="E68"/>
  <c r="E80"/>
  <c r="E81"/>
  <c r="E82"/>
  <c r="E84"/>
  <c r="E85"/>
  <c r="E86"/>
  <c r="E87"/>
  <c r="E88"/>
  <c r="E94"/>
  <c r="E96"/>
  <c r="E97"/>
  <c r="E102"/>
  <c r="E107"/>
  <c r="E129"/>
  <c r="E130"/>
  <c r="E134"/>
  <c r="E138"/>
  <c r="E139"/>
  <c r="E140"/>
  <c r="E141"/>
  <c r="E142"/>
  <c r="E144"/>
  <c r="E145"/>
  <c r="E146"/>
  <c r="E151"/>
  <c r="E153"/>
  <c r="E156"/>
  <c r="E157"/>
  <c r="E158"/>
  <c r="E13"/>
  <c r="H60" i="1"/>
  <c r="H61"/>
  <c r="H62"/>
  <c r="H63"/>
  <c r="H64"/>
  <c r="H65"/>
  <c r="H92"/>
  <c r="H96"/>
  <c r="H99"/>
  <c r="H102"/>
  <c r="H103"/>
  <c r="H104"/>
  <c r="H14"/>
  <c r="I15"/>
  <c r="J15"/>
  <c r="I16"/>
  <c r="J16"/>
  <c r="I17"/>
  <c r="J17"/>
  <c r="I18"/>
  <c r="J18"/>
  <c r="I19"/>
  <c r="J19"/>
  <c r="I20"/>
  <c r="J20"/>
  <c r="I24"/>
  <c r="J24"/>
  <c r="I25"/>
  <c r="J25"/>
  <c r="I27"/>
  <c r="J27"/>
  <c r="I30"/>
  <c r="J30"/>
  <c r="I31"/>
  <c r="J31"/>
  <c r="I33"/>
  <c r="J33"/>
  <c r="I34"/>
  <c r="J34"/>
  <c r="I35"/>
  <c r="J35"/>
  <c r="I36"/>
  <c r="J36"/>
  <c r="I37"/>
  <c r="J37"/>
  <c r="I38"/>
  <c r="J38"/>
  <c r="I41"/>
  <c r="J41"/>
  <c r="I42"/>
  <c r="J42"/>
  <c r="I43"/>
  <c r="J43"/>
  <c r="I44"/>
  <c r="J44"/>
  <c r="I45"/>
  <c r="J45"/>
  <c r="I46"/>
  <c r="J46"/>
  <c r="I47"/>
  <c r="J47"/>
  <c r="I48"/>
  <c r="J48"/>
  <c r="I49"/>
  <c r="J49"/>
  <c r="I50"/>
  <c r="J50"/>
  <c r="I51"/>
  <c r="J51"/>
  <c r="I52"/>
  <c r="J52"/>
  <c r="I53"/>
  <c r="J53"/>
  <c r="I54"/>
  <c r="J54"/>
  <c r="I55"/>
  <c r="J55"/>
  <c r="I56"/>
  <c r="J56"/>
  <c r="I57"/>
  <c r="J57"/>
  <c r="I58"/>
  <c r="J58"/>
  <c r="I59"/>
  <c r="J59"/>
  <c r="I60"/>
  <c r="J60"/>
  <c r="I61"/>
  <c r="J61"/>
  <c r="I62"/>
  <c r="J62"/>
  <c r="I63"/>
  <c r="J63"/>
  <c r="I64"/>
  <c r="J64"/>
  <c r="I65"/>
  <c r="J65"/>
  <c r="I66"/>
  <c r="J66"/>
  <c r="I69"/>
  <c r="J69"/>
  <c r="I71"/>
  <c r="J71"/>
  <c r="I74"/>
  <c r="J74"/>
  <c r="I75"/>
  <c r="J75"/>
  <c r="I76"/>
  <c r="J76"/>
  <c r="I77"/>
  <c r="J77"/>
  <c r="I78"/>
  <c r="J78"/>
  <c r="I79"/>
  <c r="J79"/>
  <c r="I80"/>
  <c r="J80"/>
  <c r="I81"/>
  <c r="J81"/>
  <c r="I82"/>
  <c r="J82"/>
  <c r="I83"/>
  <c r="J83"/>
  <c r="I84"/>
  <c r="J84"/>
  <c r="I85"/>
  <c r="J85"/>
  <c r="I86"/>
  <c r="J86"/>
  <c r="I87"/>
  <c r="J87"/>
  <c r="I88"/>
  <c r="J88"/>
  <c r="I91"/>
  <c r="J91"/>
  <c r="I92"/>
  <c r="J92"/>
  <c r="I96"/>
  <c r="J96"/>
  <c r="I99"/>
  <c r="J99"/>
  <c r="I102"/>
  <c r="J102"/>
  <c r="I103"/>
  <c r="J103"/>
  <c r="I104"/>
  <c r="J104"/>
  <c r="J106"/>
  <c r="I107"/>
  <c r="J107"/>
  <c r="I108"/>
  <c r="J108"/>
  <c r="I111"/>
  <c r="J111"/>
  <c r="I113"/>
  <c r="J113"/>
  <c r="I114"/>
  <c r="J114"/>
  <c r="J115"/>
  <c r="I116"/>
  <c r="J116"/>
  <c r="I117"/>
  <c r="J117"/>
  <c r="I119"/>
  <c r="J119"/>
  <c r="J131"/>
  <c r="J14"/>
  <c r="E14"/>
  <c r="I14"/>
  <c r="E15"/>
  <c r="E16"/>
  <c r="E17"/>
  <c r="E18"/>
  <c r="E19"/>
  <c r="E20"/>
  <c r="E24"/>
  <c r="E25"/>
  <c r="E33"/>
  <c r="E34"/>
  <c r="E35"/>
  <c r="E36"/>
  <c r="E37"/>
  <c r="E38"/>
  <c r="E41"/>
  <c r="E42"/>
  <c r="E43"/>
  <c r="E44"/>
  <c r="E45"/>
  <c r="E46"/>
  <c r="E47"/>
  <c r="E48"/>
  <c r="E49"/>
  <c r="E50"/>
  <c r="E52"/>
  <c r="E53"/>
  <c r="E54"/>
  <c r="E55"/>
  <c r="E56"/>
  <c r="E57"/>
  <c r="E58"/>
  <c r="E59"/>
  <c r="E65"/>
  <c r="E66"/>
  <c r="E69"/>
  <c r="E71"/>
  <c r="E74"/>
  <c r="E75"/>
  <c r="E76"/>
  <c r="E77"/>
  <c r="E78"/>
  <c r="E79"/>
  <c r="E80"/>
  <c r="E81"/>
  <c r="E82"/>
  <c r="E83"/>
  <c r="E84"/>
  <c r="E85"/>
  <c r="E86"/>
  <c r="E87"/>
  <c r="E88"/>
  <c r="E106"/>
  <c r="H106"/>
  <c r="E107"/>
  <c r="E108"/>
  <c r="E111"/>
  <c r="E113"/>
  <c r="E115"/>
  <c r="I115"/>
  <c r="E116"/>
  <c r="E117"/>
  <c r="E119"/>
  <c r="E131"/>
  <c r="H131"/>
  <c r="K165" i="2" l="1"/>
  <c r="K149"/>
  <c r="K114" i="1"/>
  <c r="K30"/>
  <c r="K31"/>
  <c r="K127"/>
  <c r="J156" i="2"/>
  <c r="J158"/>
  <c r="K98"/>
  <c r="I156"/>
  <c r="H156"/>
  <c r="I107"/>
  <c r="K107" s="1"/>
  <c r="J166"/>
  <c r="K100"/>
  <c r="H107"/>
  <c r="K81" i="1"/>
  <c r="K44"/>
  <c r="K14"/>
  <c r="K119"/>
  <c r="K116"/>
  <c r="K108"/>
  <c r="K104"/>
  <c r="K102"/>
  <c r="K96"/>
  <c r="K91"/>
  <c r="K86"/>
  <c r="K82"/>
  <c r="K78"/>
  <c r="K74"/>
  <c r="K65"/>
  <c r="K61"/>
  <c r="K57"/>
  <c r="K53"/>
  <c r="K49"/>
  <c r="K45"/>
  <c r="K41"/>
  <c r="K35"/>
  <c r="K24"/>
  <c r="K19"/>
  <c r="K15"/>
  <c r="K13" i="2"/>
  <c r="K153"/>
  <c r="K142"/>
  <c r="K116"/>
  <c r="K110"/>
  <c r="K97"/>
  <c r="K84"/>
  <c r="K80"/>
  <c r="K59"/>
  <c r="K60"/>
  <c r="K67"/>
  <c r="K17"/>
  <c r="K151"/>
  <c r="K14"/>
  <c r="K138"/>
  <c r="K134"/>
  <c r="K88"/>
  <c r="K157"/>
  <c r="K146"/>
  <c r="K145"/>
  <c r="K141"/>
  <c r="K139"/>
  <c r="K130"/>
  <c r="K115"/>
  <c r="K113"/>
  <c r="K108"/>
  <c r="K102"/>
  <c r="K96"/>
  <c r="K87"/>
  <c r="K85"/>
  <c r="K81"/>
  <c r="K68"/>
  <c r="K58"/>
  <c r="K27"/>
  <c r="K18"/>
  <c r="K150"/>
  <c r="K148"/>
  <c r="K144"/>
  <c r="K140"/>
  <c r="K129"/>
  <c r="K122"/>
  <c r="K114"/>
  <c r="K94"/>
  <c r="K86"/>
  <c r="K82"/>
  <c r="K28"/>
  <c r="I158"/>
  <c r="K85" i="1"/>
  <c r="K64"/>
  <c r="K60"/>
  <c r="K48"/>
  <c r="K103"/>
  <c r="K99"/>
  <c r="K77"/>
  <c r="K71"/>
  <c r="K56"/>
  <c r="K52"/>
  <c r="K38"/>
  <c r="K34"/>
  <c r="K18"/>
  <c r="K113"/>
  <c r="K117"/>
  <c r="K92"/>
  <c r="K87"/>
  <c r="K83"/>
  <c r="K79"/>
  <c r="K75"/>
  <c r="K66"/>
  <c r="K62"/>
  <c r="K58"/>
  <c r="K54"/>
  <c r="K50"/>
  <c r="K46"/>
  <c r="K42"/>
  <c r="K36"/>
  <c r="K25"/>
  <c r="K20"/>
  <c r="K16"/>
  <c r="K111"/>
  <c r="K107"/>
  <c r="K88"/>
  <c r="K84"/>
  <c r="K80"/>
  <c r="K76"/>
  <c r="K69"/>
  <c r="K63"/>
  <c r="K59"/>
  <c r="K55"/>
  <c r="K47"/>
  <c r="K43"/>
  <c r="K37"/>
  <c r="K33"/>
  <c r="K27"/>
  <c r="K17"/>
  <c r="I131"/>
  <c r="K131" s="1"/>
  <c r="K115"/>
  <c r="H115"/>
  <c r="I106"/>
  <c r="K106" s="1"/>
  <c r="K156" i="2" l="1"/>
  <c r="K158"/>
  <c r="H158"/>
  <c r="H166" l="1"/>
  <c r="C166"/>
  <c r="E166" s="1"/>
  <c r="I162"/>
  <c r="K162" s="1"/>
  <c r="I166" l="1"/>
  <c r="K166" s="1"/>
</calcChain>
</file>

<file path=xl/sharedStrings.xml><?xml version="1.0" encoding="utf-8"?>
<sst xmlns="http://schemas.openxmlformats.org/spreadsheetml/2006/main" count="1149" uniqueCount="870">
  <si>
    <t xml:space="preserve">Найменування </t>
  </si>
  <si>
    <t>Код бюджетної класифікації</t>
  </si>
  <si>
    <t>Загальний фонд</t>
  </si>
  <si>
    <t>Спеціальний фонд</t>
  </si>
  <si>
    <t>Разом</t>
  </si>
  <si>
    <t>Податкові надходження:</t>
  </si>
  <si>
    <t>10000000</t>
  </si>
  <si>
    <t>Податки на доходи, податки на прибуток, податки на збільшення ринкової вартості</t>
  </si>
  <si>
    <t>11000000</t>
  </si>
  <si>
    <t>Податок  та збір на доходи фізичних осіб</t>
  </si>
  <si>
    <t>11010000</t>
  </si>
  <si>
    <t>Податок на доходи фізичних осіб, що сплачується податковими агентами, із доходів платника податку у вигляді заробітної плати</t>
  </si>
  <si>
    <t>11010100</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</si>
  <si>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</si>
  <si>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11010200</t>
  </si>
  <si>
    <t>Податок на доходи фізичних осіб, що сплачується податковими агентами, із доходів платника податку інших ніж заробітна плата</t>
  </si>
  <si>
    <t>11010400</t>
  </si>
  <si>
    <t>Податок на доходи фізичних осіб, що сплачується фізичними особами за результатами річного декларування</t>
  </si>
  <si>
    <t>11010500</t>
  </si>
  <si>
    <t>Рентна плата та плата за використання інших природних ресурсів</t>
  </si>
  <si>
    <t>13000000</t>
  </si>
  <si>
    <t>Рентна плата за спеціальне використання лісових ресурсів</t>
  </si>
  <si>
    <t>13010000</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</si>
  <si>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</si>
  <si>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13010200</t>
  </si>
  <si>
    <t>Рентна плата за користування надрами</t>
  </si>
  <si>
    <t>13030000</t>
  </si>
  <si>
    <t>Рентна плата за користування надрами для видобування корисних копалин загальнодержавного значення</t>
  </si>
  <si>
    <t>13030100</t>
  </si>
  <si>
    <t>Внутрішні податки на товари та послуги  </t>
  </si>
  <si>
    <t>14000000</t>
  </si>
  <si>
    <t>Акцизний податок з вироблених в Україні підакцизних товарів (продукції)</t>
  </si>
  <si>
    <t>14020000</t>
  </si>
  <si>
    <t>Пальне</t>
  </si>
  <si>
    <t>14021900</t>
  </si>
  <si>
    <t>Акцизний податок з ввезених на митну територію України підакцизних товарів (продукції) </t>
  </si>
  <si>
    <t>14030000</t>
  </si>
  <si>
    <t>14031900</t>
  </si>
  <si>
    <t>Акцизний податок з реалізації суб’єктами господарювання роздрібної торгівлі підакцизних товарів</t>
  </si>
  <si>
    <t>14040000</t>
  </si>
  <si>
    <t>Місцеві податки</t>
  </si>
  <si>
    <t>18000000</t>
  </si>
  <si>
    <t>Податок на майно</t>
  </si>
  <si>
    <t>18010000</t>
  </si>
  <si>
    <t>Податок на нерухоме майно, відмінне від земельної ділянки, сплачений юридичними особами, які є власниками об'єктів житлової нерухомості</t>
  </si>
  <si>
    <t>18010100</t>
  </si>
  <si>
    <t>Податок на нерухоме майно, відмінне від земельної ділянки, сплачений фізичними особами, які є власниками об'єктів житлової нерухомості</t>
  </si>
  <si>
    <t>18010200</t>
  </si>
  <si>
    <t>Податок на нерухоме майно, відмінне від земельної ділянки, сплачений фізичними особами, які є власниками об'єктів нежитлової нерухомості</t>
  </si>
  <si>
    <t>18010300</t>
  </si>
  <si>
    <t>Податок на нерухоме майно, відмінне від земельної ділянки, сплачений  юридичними особами, які є власниками об'єктів нежитлової нерухомості</t>
  </si>
  <si>
    <t>18010400</t>
  </si>
  <si>
    <t>Земельний податок з юридичних осіб  </t>
  </si>
  <si>
    <t>18010500</t>
  </si>
  <si>
    <t>Орендна плата з юридичних осіб </t>
  </si>
  <si>
    <t>18010600</t>
  </si>
  <si>
    <t>Земельний податок з фізичних осіб</t>
  </si>
  <si>
    <t>18010700</t>
  </si>
  <si>
    <t>Орендна плата з фізичних осіб</t>
  </si>
  <si>
    <t>18010900</t>
  </si>
  <si>
    <t>Транспортний податок з фізичних осіб</t>
  </si>
  <si>
    <t>18011000</t>
  </si>
  <si>
    <t>Транспортний податок з юридичних осіб</t>
  </si>
  <si>
    <t>18011100</t>
  </si>
  <si>
    <t>Туристичний збір </t>
  </si>
  <si>
    <t>18030000</t>
  </si>
  <si>
    <t>Туристичний збір, сплачений юридичними особами </t>
  </si>
  <si>
    <t>18030100</t>
  </si>
  <si>
    <t>Туристичний збір, сплачений фізичними особами </t>
  </si>
  <si>
    <t>18030200</t>
  </si>
  <si>
    <t>Єдиний податок  </t>
  </si>
  <si>
    <t>18050000</t>
  </si>
  <si>
    <t>Єдиний податок з юридичних осіб </t>
  </si>
  <si>
    <t>18050300</t>
  </si>
  <si>
    <t>Єдиний податок з фізичних осіб </t>
  </si>
  <si>
    <t>18050400</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</si>
  <si>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</si>
  <si>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18050500</t>
  </si>
  <si>
    <t>Інші податки та збори </t>
  </si>
  <si>
    <t>19000000</t>
  </si>
  <si>
    <t>Екологічний податок </t>
  </si>
  <si>
    <t>19010000</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</si>
  <si>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</si>
  <si>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19010100</t>
  </si>
  <si>
    <t>Надходження від скидів забруднюючих речовин безпосередньо у водні об'єкти </t>
  </si>
  <si>
    <t>19010200</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</si>
  <si>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</si>
  <si>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19010300</t>
  </si>
  <si>
    <t>Неподаткові надходження</t>
  </si>
  <si>
    <t>20000000</t>
  </si>
  <si>
    <t>Доходи від  власності та підприємницької діяльності</t>
  </si>
  <si>
    <t>21000000</t>
  </si>
  <si>
    <t>Інші надходження</t>
  </si>
  <si>
    <t>21080000</t>
  </si>
  <si>
    <t>Адміністративні штрафи та інші санкції </t>
  </si>
  <si>
    <t>21081100</t>
  </si>
  <si>
    <t>Адміністративні збори та платежі, доходи від некомерційної господарської діяльності </t>
  </si>
  <si>
    <t>22000000</t>
  </si>
  <si>
    <t>Плата за надання адміністративних послуг</t>
  </si>
  <si>
    <t>22010000</t>
  </si>
  <si>
    <t>Адміністративний збір за проведення державної реєстрації юридичних осіб, фізичних осіб - підприємців та громадських формувань</t>
  </si>
  <si>
    <t>22010300</t>
  </si>
  <si>
    <t>Плата за надання інших адміністративних послуг</t>
  </si>
  <si>
    <t>22012500</t>
  </si>
  <si>
    <t>Адміністративний збір за державну реєстрацію речових прав на нерухоме майно та їх обтяжень</t>
  </si>
  <si>
    <t>22012600</t>
  </si>
  <si>
    <t>Надходження від орендної плати за користування цілісним майновим комплексом та іншим державним майном  </t>
  </si>
  <si>
    <t>22080000</t>
  </si>
  <si>
    <t>Надходження від орендної плати за користування цілісним майновим комплексом та іншим майном, що перебуває в комунальній власності </t>
  </si>
  <si>
    <t>Державне мито</t>
  </si>
  <si>
    <t>22090000</t>
  </si>
  <si>
    <t>Державне мито, що сплачується за місцем розгляду та оформлення документів, у тому числі за оформлення документів на спадщину і дарування  </t>
  </si>
  <si>
    <t>22090100</t>
  </si>
  <si>
    <t>Державне мито, не віднесене до інших категорій</t>
  </si>
  <si>
    <t>22090200</t>
  </si>
  <si>
    <t>Державне мито, пов'язане з видачею та оформленням закордонних паспортів (посвідок) та паспортів громадян України  </t>
  </si>
  <si>
    <t>22090400</t>
  </si>
  <si>
    <t>Орендна плата за водні об'єкти (їх частини), що надаються в користування на умовах оренди, районними, Київською та Севастопольською міськими державними адміністраціями, місцевими радами</t>
  </si>
  <si>
    <t>22130000</t>
  </si>
  <si>
    <t>Інші неподаткові надходження  </t>
  </si>
  <si>
    <t>24000000</t>
  </si>
  <si>
    <t>Інші надходження  </t>
  </si>
  <si>
    <t>24060000</t>
  </si>
  <si>
    <t>24060300</t>
  </si>
  <si>
    <t>Власні надходження бюджетних установ  </t>
  </si>
  <si>
    <t>25000000</t>
  </si>
  <si>
    <t>Надходження від плати за послуги, що надаються бюджетними установами згідно із законодавством </t>
  </si>
  <si>
    <t>25010000</t>
  </si>
  <si>
    <t>Інші джерела власних надходжень бюджетних установ  </t>
  </si>
  <si>
    <t>25020000</t>
  </si>
  <si>
    <t>Доходи від операцій з капіталом  </t>
  </si>
  <si>
    <t>30000000</t>
  </si>
  <si>
    <t>Кошти від продажу землі і нематеріальних активів </t>
  </si>
  <si>
    <t>33000000</t>
  </si>
  <si>
    <t>Кошти від продажу землі</t>
  </si>
  <si>
    <t>33010000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</si>
  <si>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</si>
  <si>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33010100</t>
  </si>
  <si>
    <t>Усього доходів без урахування міжбюджетних трансфертів</t>
  </si>
  <si>
    <t>90010100</t>
  </si>
  <si>
    <t>Офіційні трансферти  </t>
  </si>
  <si>
    <t>40000000</t>
  </si>
  <si>
    <t>Від органів державного управління  </t>
  </si>
  <si>
    <t>41000000</t>
  </si>
  <si>
    <t>Субвенції з державного бюджету місцевим бюджетам</t>
  </si>
  <si>
    <t>41030000</t>
  </si>
  <si>
    <t>Освітня субвенція з державного бюджету місцевим бюджетам</t>
  </si>
  <si>
    <t>41033900</t>
  </si>
  <si>
    <t>Усього доходів з урахуванням міжбюджетних трансфертів з державного бюджету</t>
  </si>
  <si>
    <t>90010200</t>
  </si>
  <si>
    <t>Дотації з місцевих бюджетів іншим місцевим бюджетам</t>
  </si>
  <si>
    <t>41040000</t>
  </si>
  <si>
    <t>Субвенції з місцевих бюджетів іншим місцевим бюджетам</t>
  </si>
  <si>
    <t>41050000</t>
  </si>
  <si>
    <t>Усього</t>
  </si>
  <si>
    <t>90010300</t>
  </si>
  <si>
    <t>Державне управлiння</t>
  </si>
  <si>
    <t>0100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</si>
  <si>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</si>
  <si>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0150</t>
  </si>
  <si>
    <t>Освiта</t>
  </si>
  <si>
    <t>1000</t>
  </si>
  <si>
    <t>Надання дошкільної освіти</t>
  </si>
  <si>
    <t>1010</t>
  </si>
  <si>
    <t>1020</t>
  </si>
  <si>
    <t>Соціальний захист та соціальне забезпечення</t>
  </si>
  <si>
    <t>3000</t>
  </si>
  <si>
    <t>Інші заклади та заходи</t>
  </si>
  <si>
    <t>3240</t>
  </si>
  <si>
    <t>Інші заходи у сфері соціального захисту і соціального забезпечення</t>
  </si>
  <si>
    <t>3242</t>
  </si>
  <si>
    <t>Культура i мистецтво</t>
  </si>
  <si>
    <t>4000</t>
  </si>
  <si>
    <t>Забезпечення діяльності бібліотек</t>
  </si>
  <si>
    <t>4030</t>
  </si>
  <si>
    <t>Забезпечення діяльності музеїв i виставок</t>
  </si>
  <si>
    <t>4040</t>
  </si>
  <si>
    <t>4060</t>
  </si>
  <si>
    <t>Інші заклади та заходи в галузі культури і мистецтва</t>
  </si>
  <si>
    <t>4080</t>
  </si>
  <si>
    <t>Інші заходи в галузі культури і мистецтва</t>
  </si>
  <si>
    <t>4082</t>
  </si>
  <si>
    <t>Фiзична культура i спорт</t>
  </si>
  <si>
    <t>5000</t>
  </si>
  <si>
    <t>Проведення спортивної роботи в регіоні</t>
  </si>
  <si>
    <t>5010</t>
  </si>
  <si>
    <t>Проведення навчально-тренувальних зборів і змагань з олімпійських видів спорту</t>
  </si>
  <si>
    <t>5011</t>
  </si>
  <si>
    <t>Інші заходи з розвитку фізичної культури та спорту</t>
  </si>
  <si>
    <t>5060</t>
  </si>
  <si>
    <t>Підтримка спорту вищих досягнень та організацій, які здійснюють фізкультурно-спортивну діяльність в регіоні</t>
  </si>
  <si>
    <t>5062</t>
  </si>
  <si>
    <t>Житлово-комунальне господарство</t>
  </si>
  <si>
    <t>6000</t>
  </si>
  <si>
    <t>Утримання та ефективна експлуатація об’єктів житлово-комунального господарства</t>
  </si>
  <si>
    <t>6010</t>
  </si>
  <si>
    <t>Забезпечення діяльності водопровідно-каналізаційного господарства</t>
  </si>
  <si>
    <t>6013</t>
  </si>
  <si>
    <t>Організація благоустрою населених пунктів</t>
  </si>
  <si>
    <t>6030</t>
  </si>
  <si>
    <t>Економічна діяльність</t>
  </si>
  <si>
    <t>7000</t>
  </si>
  <si>
    <t>Сільське, лісове, рибне господарство та мисливство</t>
  </si>
  <si>
    <t>7100</t>
  </si>
  <si>
    <t>Здійснення  заходів із землеустрою</t>
  </si>
  <si>
    <t>7130</t>
  </si>
  <si>
    <t>Будівництво та регіональний розвиток</t>
  </si>
  <si>
    <t>7300</t>
  </si>
  <si>
    <t>Будівництво об'єктів житлово-комунального господарства</t>
  </si>
  <si>
    <t>7310</t>
  </si>
  <si>
    <t>Будівництво об'єктів соціально-культурного призначення</t>
  </si>
  <si>
    <t>7320</t>
  </si>
  <si>
    <t>Розроблення схем планування та забудови територій (містобудівної документації)</t>
  </si>
  <si>
    <t>7350</t>
  </si>
  <si>
    <t>Виконання інвестиційних проектів</t>
  </si>
  <si>
    <t>7360</t>
  </si>
  <si>
    <t>Транспорт та транспортна інфраструктура, дорожнє господарство</t>
  </si>
  <si>
    <t>7400</t>
  </si>
  <si>
    <t>Утримання та розвиток автомобільних доріг та дорожньої інфраструктури</t>
  </si>
  <si>
    <t>7460</t>
  </si>
  <si>
    <t>Утримання та розвиток автомобільних доріг та дорожньої інфраструктури за рахунок коштів місцевого бюджету</t>
  </si>
  <si>
    <t>7461</t>
  </si>
  <si>
    <t>Інші програми та заходи, пов'язані з економічною діяльністю</t>
  </si>
  <si>
    <t>7600</t>
  </si>
  <si>
    <t>Внески до статутного капіталу суб’єктів господарювання</t>
  </si>
  <si>
    <t>7670</t>
  </si>
  <si>
    <t>Членські внески до асоціацій органів місцевого самоврядування</t>
  </si>
  <si>
    <t>7680</t>
  </si>
  <si>
    <t>Інша економічна діяльність</t>
  </si>
  <si>
    <t>7690</t>
  </si>
  <si>
    <t>Інші заходи, пов'язані з економічною діяльністю</t>
  </si>
  <si>
    <t>7693</t>
  </si>
  <si>
    <t>Інша діяльність</t>
  </si>
  <si>
    <t>8000</t>
  </si>
  <si>
    <t>8100</t>
  </si>
  <si>
    <t>8130</t>
  </si>
  <si>
    <t>Громадський порядок та безпека</t>
  </si>
  <si>
    <t>8200</t>
  </si>
  <si>
    <t>Інші заходи громадського порядку та безпеки</t>
  </si>
  <si>
    <t>8230</t>
  </si>
  <si>
    <t>Охорона навколишнього природного середовища</t>
  </si>
  <si>
    <t>8300</t>
  </si>
  <si>
    <t>Інша діяльність у сфері екології та охорони природних ресурсів</t>
  </si>
  <si>
    <t>8330</t>
  </si>
  <si>
    <t>Природоохоронні заходи за рахунок цільових фондів</t>
  </si>
  <si>
    <t>8340</t>
  </si>
  <si>
    <t>Засоби масової інформації</t>
  </si>
  <si>
    <t>8400</t>
  </si>
  <si>
    <t>Інші заходи у сфері засобів масової інформації</t>
  </si>
  <si>
    <t>8420</t>
  </si>
  <si>
    <t>Усього видатків без урахування міжбюджетних трансфертів</t>
  </si>
  <si>
    <t>900201</t>
  </si>
  <si>
    <t>Субвенція з місцевого бюджету державному бюджету на виконання програм соціально-економічного розвитку регіонів</t>
  </si>
  <si>
    <t>9800</t>
  </si>
  <si>
    <t>Усього видатків з трансфертами, що передаються до державного бюджету</t>
  </si>
  <si>
    <t>900202</t>
  </si>
  <si>
    <t>Субвенції з місцевого бюджету іншим місцевим бюджетам на здійснення програм та заходів у галузі охорони здоров’я за рахунок субвенцій з державного бюджету</t>
  </si>
  <si>
    <t>9400</t>
  </si>
  <si>
    <t>Субвенція з місцевого бюджету на здійснення переданих видатків у сфері охорони здоров’я за рахунок коштів медичної субвенції</t>
  </si>
  <si>
    <t>9410</t>
  </si>
  <si>
    <t>Субвенції з місцевого бюджету іншим місцевим бюджетам на здійснення програм та заходів за рахунок коштів місцевих бюджетів</t>
  </si>
  <si>
    <t>9700</t>
  </si>
  <si>
    <t>Субвенція з місцевого бюджету на співфінансування інвестиційних проектів</t>
  </si>
  <si>
    <t>9750</t>
  </si>
  <si>
    <t>Інші субвенції з місцевого бюджету</t>
  </si>
  <si>
    <t>9770</t>
  </si>
  <si>
    <t>900203</t>
  </si>
  <si>
    <t>відсоток виконання</t>
  </si>
  <si>
    <t>ДОХОДИ</t>
  </si>
  <si>
    <t>РАЗОМ</t>
  </si>
  <si>
    <t>програмної класифікації видатків та кредитування місцевих бюджетів</t>
  </si>
  <si>
    <t>ВИДАТКИ</t>
  </si>
  <si>
    <t>13010100</t>
  </si>
  <si>
    <t>41053900</t>
  </si>
  <si>
    <t>24062100</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</si>
  <si>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t>
  </si>
  <si>
    <t xml:space="preserve">Рентна плата за спеціальне використання лісових ресурсів в частині деревини, заготовленої в порядку рубок головного користування 
</t>
  </si>
  <si>
    <t>22080402</t>
  </si>
  <si>
    <t>0160</t>
  </si>
  <si>
    <t>1150</t>
  </si>
  <si>
    <t>1160</t>
  </si>
  <si>
    <t>Інші програми, заклади та заходи у сфері освіти</t>
  </si>
  <si>
    <t>Забезпечення діяльності інших закладів у сфері освіти</t>
  </si>
  <si>
    <t>7368</t>
  </si>
  <si>
    <t>Виконання інвестиційних проектів за рахунок субвенцій з інших бюджетів</t>
  </si>
  <si>
    <t>41051200</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</si>
  <si>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</si>
  <si>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13030200</t>
  </si>
  <si>
    <t>25020100</t>
  </si>
  <si>
    <t>25020200</t>
  </si>
  <si>
    <t>41020000</t>
  </si>
  <si>
    <t>25010100</t>
  </si>
  <si>
    <t>5061</t>
  </si>
  <si>
    <t>2000</t>
  </si>
  <si>
    <t>2110</t>
  </si>
  <si>
    <t>2112</t>
  </si>
  <si>
    <t>2113</t>
  </si>
  <si>
    <t>7200</t>
  </si>
  <si>
    <t>7220</t>
  </si>
  <si>
    <t>7321</t>
  </si>
  <si>
    <t xml:space="preserve">Резервний фонд </t>
  </si>
  <si>
    <t>8700</t>
  </si>
  <si>
    <t>9420</t>
  </si>
  <si>
    <t>Охорона здоров'я</t>
  </si>
  <si>
    <t>Первинна медична допомога населенню</t>
  </si>
  <si>
    <t>Первинна медична допомога населенню, що надається фельдшерськими, фельдшерсько-акушерськими пунктами</t>
  </si>
  <si>
    <t>Первинна медична допомога населенню, що надається амбулаторно-поліклінічними закладами (відділеннями)</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</si>
  <si>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</si>
  <si>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Газове господарство</t>
  </si>
  <si>
    <t>Газифікація населених пунктів</t>
  </si>
  <si>
    <t>Будівництво освітніх установ та закладів</t>
  </si>
  <si>
    <t>Субвенція з місцевого бюджету за рахунок залишку коштів медичної субвенції, що утворився на початок бюджетного періоду</t>
  </si>
  <si>
    <t>Плата за послуги, що надаються бюджетними установами згідно з їх основною діяльністю </t>
  </si>
  <si>
    <t>Благодійні внески, гранти та дарунки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</si>
  <si>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</si>
  <si>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Рентна плата за користування надрами для видобування корисних копалин місцевого значення </t>
  </si>
  <si>
    <t>Дотації</t>
  </si>
  <si>
    <t>Надання позашкільної освіти закладами позашкільної освіти, заходи із позашкільної роботи з дітьми</t>
  </si>
  <si>
    <t>Надання спеціальної освіти мистецькими школами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</si>
  <si>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</si>
  <si>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21110000</t>
  </si>
  <si>
    <t>Надходження коштів від відшкодування втрат сільськогосподарського і лісогосподарського виробництва  </t>
  </si>
  <si>
    <t>25010400</t>
  </si>
  <si>
    <t>Надходження бюджетних установ від реалізації в установленому порядку майна (крім нерухомого майна) </t>
  </si>
  <si>
    <t>Компенсаційні виплати за пільговий проїзд окремих категорій громадян на залізничному транспорті</t>
  </si>
  <si>
    <t>3035</t>
  </si>
  <si>
    <t>8110</t>
  </si>
  <si>
    <t>Заходи із запобігання та ліквідації надзвичайних ситуацій та наслідків стихійного лиха</t>
  </si>
  <si>
    <t xml:space="preserve">        Загальний фонд</t>
  </si>
  <si>
    <t>11020000</t>
  </si>
  <si>
    <t>Податок на прибуток підприємств та фінансових установ комунальної власності </t>
  </si>
  <si>
    <t>11020200</t>
  </si>
  <si>
    <t xml:space="preserve">Податок на прибуток підприємств </t>
  </si>
  <si>
    <t>21081500</t>
  </si>
  <si>
    <t>Адміністративні штрафи та штрафні санкції за порушення законодавства у сфері виробництва та обігу алкогольних напоїв та тютюнових виробів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</si>
  <si>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</si>
  <si>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</si>
  <si>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25010300</t>
  </si>
  <si>
    <t>Плата за оренду майна бюджетних устианов</t>
  </si>
  <si>
    <t>21010300</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</si>
  <si>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</si>
  <si>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Частина чистого прибутку (доходу) комунальних унітарних підприємств та їх об'єднань, що вилучається до відповідного місцевого бюджету</t>
  </si>
  <si>
    <t>41051000</t>
  </si>
  <si>
    <t>Субвенція з місцевого бюджету на здійснення переданих видатків у сфері освіти за рахунок коштів освітньої субвенції</t>
  </si>
  <si>
    <t>Надання загальної середньої освіти закладами загальної середньої освіти</t>
  </si>
  <si>
    <t>Надання загальної середньої освіти за рахунок коштів місцевого бюджету</t>
  </si>
  <si>
    <t>1031</t>
  </si>
  <si>
    <t>1070</t>
  </si>
  <si>
    <t>1080</t>
  </si>
  <si>
    <t>1140</t>
  </si>
  <si>
    <t>1141</t>
  </si>
  <si>
    <t>1030</t>
  </si>
  <si>
    <t>Надання загальної середньої освіти за рахунок освітньої субвенції</t>
  </si>
  <si>
    <t>1021</t>
  </si>
  <si>
    <t>Забезпечення діяльності інклюзивно-ресурсних центрів</t>
  </si>
  <si>
    <t>Забезпечення діяльності інклюзивно-ресурсних центрів за рахунок коштів місцевого бюджету</t>
  </si>
  <si>
    <t>1151</t>
  </si>
  <si>
    <t>1152</t>
  </si>
  <si>
    <t>Забезпечення діяльності інклюзивно-ресурсних центрів за рахунок освітньої субвенції</t>
  </si>
  <si>
    <t>Забезпечення діяльності центрів професійного розвитку педагогічних працівників</t>
  </si>
  <si>
    <t>2010</t>
  </si>
  <si>
    <t>2140</t>
  </si>
  <si>
    <t>2144</t>
  </si>
  <si>
    <t>2150</t>
  </si>
  <si>
    <t>Багатопрофільна стаціонарна медична допомога населенню</t>
  </si>
  <si>
    <t>Програми і централізовані заходи у галузі охорони здоров'я</t>
  </si>
  <si>
    <t>Централізовані заходи з лікування хворих на цукровий та нецукровий діабет</t>
  </si>
  <si>
    <t>Інші програми, заклади та заходи у сфері охорони здоров'я</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</si>
  <si>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</si>
  <si>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Надання пільг окремим категоріям громадян з оплати послуг зв'язку</t>
  </si>
  <si>
    <t>3030</t>
  </si>
  <si>
    <t>3032</t>
  </si>
  <si>
    <t>3033</t>
  </si>
  <si>
    <t>Компенсаційні виплати на пільговий проїзд автомобільним транспортом окремим категоріям громадян</t>
  </si>
  <si>
    <t>3100</t>
  </si>
  <si>
    <t>3104</t>
  </si>
  <si>
    <t>3120</t>
  </si>
  <si>
    <t>3121</t>
  </si>
  <si>
    <t>3160</t>
  </si>
  <si>
    <t>3180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</si>
  <si>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</si>
  <si>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</si>
  <si>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Здійснення соціальної роботи з вразливими категоріями населення</t>
  </si>
  <si>
    <t>Утримання та забезпечення діяльності центрів соціальних служб</t>
  </si>
  <si>
    <t>Забезпечення діяльності палаців і будинків культури, клубів, центрів дозвілля та інших клубних закладів</t>
  </si>
  <si>
    <t>5030</t>
  </si>
  <si>
    <t>5031</t>
  </si>
  <si>
    <t>Розвиток дитячо-юнацького та резервного спорту</t>
  </si>
  <si>
    <t>Утримання та навчально-тренувальна робота комунальних дитячо-юнацьких спортивних шкіл</t>
  </si>
  <si>
    <t>7324</t>
  </si>
  <si>
    <t>Будівництво установ та закладів культури</t>
  </si>
  <si>
    <t>7325</t>
  </si>
  <si>
    <t>Будівництво споруд, установ та закладів фізичної культури і спорту</t>
  </si>
  <si>
    <t>7330</t>
  </si>
  <si>
    <t>Будівництво інших об`єктів комунальної власності</t>
  </si>
  <si>
    <t>7660</t>
  </si>
  <si>
    <t>8410</t>
  </si>
  <si>
    <t>Фінансова підтримка засобів масової інформації</t>
  </si>
  <si>
    <t>8710</t>
  </si>
  <si>
    <t>Резервний фонд місцевого бюджету</t>
  </si>
  <si>
    <t>41053400</t>
  </si>
  <si>
    <t>21010000</t>
  </si>
  <si>
    <t>Субвенція з місцевого бюджету на виконання інвестиційних проектів</t>
  </si>
  <si>
    <t>0180</t>
  </si>
  <si>
    <t>6070</t>
  </si>
  <si>
    <t>6071</t>
  </si>
  <si>
    <t>7322</t>
  </si>
  <si>
    <t>7340</t>
  </si>
  <si>
    <t>Інша діяльність у сфері державного управління</t>
  </si>
  <si>
    <t>Регулювання цін/тарифів на житлово-комунальні послуги</t>
  </si>
  <si>
    <t>Будівництво медичних установ та закладів</t>
  </si>
  <si>
    <t>Проектування, реставрація та охорона пам'яток архітектури</t>
  </si>
  <si>
    <t>Керівництво і управління у відповідній сфері у містах (місті Києві), селищах, селах,  територіальних громадах</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</si>
  <si>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</si>
  <si>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</si>
  <si>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</si>
  <si>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13020000</t>
  </si>
  <si>
    <t>13020200</t>
  </si>
  <si>
    <t>Рентна плата за спеціальне використання води </t>
  </si>
  <si>
    <t>Рентна плата за спеціальне використання води водних об'єктів місцевого значення </t>
  </si>
  <si>
    <t>21080500</t>
  </si>
  <si>
    <t>41051100</t>
  </si>
  <si>
    <t>Субвенція з місцевого бюджету за рахунок залишку коштів освітньої субвенції, що утворився на початок бюджетного періоду</t>
  </si>
  <si>
    <t>1180</t>
  </si>
  <si>
    <t>1181</t>
  </si>
  <si>
    <t>1182</t>
  </si>
  <si>
    <t>Виконання заходів, спрямованих на забезпечення якісної, сучасної та доступної загальної середньої освіти «Нова українська школа»</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</si>
  <si>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</si>
  <si>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t>
  </si>
  <si>
    <t>3140</t>
  </si>
  <si>
    <t xml:space="preserve">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t>
  </si>
  <si>
    <t>3190</t>
  </si>
  <si>
    <t>3192</t>
  </si>
  <si>
    <t>Соціальний захист ветеранів війни та праці</t>
  </si>
  <si>
    <t>Надання фінансової підтримки громадським об'єднанням ветеранів і осіб з інвалідністю, діяльність яких має соціальну спрямованість</t>
  </si>
  <si>
    <t>6083</t>
  </si>
  <si>
    <t>7363</t>
  </si>
  <si>
    <t>Виконання інвестиційних проектів в рамках здійснення заходів щодо соціально-економічного розвитку окремих територій</t>
  </si>
  <si>
    <t>Дотація з місцевого бюджету на проведення розрахунків протягом опалювального періоду за комунальні послуги та енергоносії, які споживаються установами, організаціями, підприємствами, що утримуються за рахунок відповідних місцевих бюджетів за рахунок відповідної додаткової дотації з державного бюджету</t>
  </si>
  <si>
    <t>41040500</t>
  </si>
  <si>
    <t>41052600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</si>
  <si>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за рахунок відповідної субвенції з державного бюджету</t>
  </si>
  <si>
    <t>Надходження від продажу основного капіталу  </t>
  </si>
  <si>
    <t>Кошти від відчуження майна, що належить Автономній Республіці Крим та майна, що перебуває в комунальній власності  </t>
  </si>
  <si>
    <t>31000000</t>
  </si>
  <si>
    <t>31030000</t>
  </si>
  <si>
    <t>1040</t>
  </si>
  <si>
    <t>1041</t>
  </si>
  <si>
    <t>Надання загальної середньої освіти за рахунок залишку коштів за освітньою субвенцією, що мають цільове призначення, виділених відповідно до рішень Кабінету Міністрів України у попередньому бюджетному періоді</t>
  </si>
  <si>
    <t>3130</t>
  </si>
  <si>
    <t>3133</t>
  </si>
  <si>
    <t>Реалізація державної політики у молодіжній сфері</t>
  </si>
  <si>
    <t>Інші заходи та заклади молодіжної політики</t>
  </si>
  <si>
    <t>6080</t>
  </si>
  <si>
    <t>Реалізація державних та місцевих житлових програм</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</si>
  <si>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</si>
  <si>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7463</t>
  </si>
  <si>
    <t>Утримання та розвиток автомобільних доріг та дорожньої інфраструктури за рахунок трансфертів з інших місцевих бюджетів</t>
  </si>
  <si>
    <t>Внески до статутного капіталу суб'єктів господарювання</t>
  </si>
  <si>
    <t>1060</t>
  </si>
  <si>
    <t>1061</t>
  </si>
  <si>
    <t>Надання загальної середньої освіти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 а також коштів, необхідних для забезпечення безпечного навчального процесу у закладах загальної середньої освіти)</t>
  </si>
  <si>
    <t>3230</t>
  </si>
  <si>
    <t>Видатки, пов'язані з наданням підтримки внутрішньо переміщеним та/або евакуйованим особам у зв'язку із введенням воєнного стану</t>
  </si>
  <si>
    <t>Реалізація програм в галузі сільського господарства</t>
  </si>
  <si>
    <t>14040100</t>
  </si>
  <si>
    <t>14040200</t>
  </si>
  <si>
    <t>7110</t>
  </si>
  <si>
    <t>8240</t>
  </si>
  <si>
    <t>Заходи та роботи з територіальної оборони</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</si>
  <si>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</si>
  <si>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</si>
  <si>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</si>
  <si>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t>
  </si>
  <si>
    <t>1142</t>
  </si>
  <si>
    <t>Інші програми та заходи у сфері освіти</t>
  </si>
  <si>
    <t>5041</t>
  </si>
  <si>
    <t>5040</t>
  </si>
  <si>
    <t>Підтримка і розвиток спортивної інфраструктури</t>
  </si>
  <si>
    <t>Утримання та фінансова підтримка спортивних споруд</t>
  </si>
  <si>
    <t>41040400</t>
  </si>
  <si>
    <t xml:space="preserve">Інші дотації з місцевого бюджету </t>
  </si>
  <si>
    <t>41077000</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</si>
  <si>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</si>
  <si>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Інші програми та заходи у сфері охорони здоров'я</t>
  </si>
  <si>
    <t>2152</t>
  </si>
  <si>
    <t>3210</t>
  </si>
  <si>
    <t>Організація та проведення громадських робіт</t>
  </si>
  <si>
    <t>5049</t>
  </si>
  <si>
    <t>Виконання окремих заходів з реалізації соціального проекту «Активні парки – локації здорової України»</t>
  </si>
  <si>
    <t>6020</t>
  </si>
  <si>
    <t>Забезпечення функціонування підприємств, установ та організацій, що виробляють, виконують та/або надають житлово-комунальні послуги</t>
  </si>
  <si>
    <t>33010500</t>
  </si>
  <si>
    <t>41059000</t>
  </si>
  <si>
    <t>Кошти від викупу земельних ділянок сільськогосподарського призначення державної та комунальної власності, передбачених пунктом 6-1 розділу Х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</si>
  <si>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</si>
  <si>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1260</t>
  </si>
  <si>
    <t>1261</t>
  </si>
  <si>
    <t>1262</t>
  </si>
  <si>
    <t>Виконання заходів щодо облаштування безпечних умов у закладах загальної середньої освіти</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</si>
  <si>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</si>
  <si>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</si>
  <si>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7500</t>
  </si>
  <si>
    <t>7530</t>
  </si>
  <si>
    <t>Зв'язок, телекомунікації та інформатика</t>
  </si>
  <si>
    <t>Інші заходи у сфері зв'язку, телекомунікації та інформатики</t>
  </si>
  <si>
    <t>Податок на доходи фізичних осіб у вигляді мінімального податкового зобов'язання, що підлягає сплаті фізичними особами</t>
  </si>
  <si>
    <t>11011300</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</si>
  <si>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</si>
  <si>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</si>
  <si>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1210</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</si>
  <si>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</si>
  <si>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</si>
  <si>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</si>
  <si>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</si>
  <si>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Захист населення і територій від надзвичайних ситуацій</t>
  </si>
  <si>
    <t>Забезпечення діяльності місцевої та добровільної пожежної охорони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</si>
  <si>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</si>
  <si>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1200</t>
  </si>
  <si>
    <t>1290</t>
  </si>
  <si>
    <t>1291</t>
  </si>
  <si>
    <t>1292</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</si>
  <si>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</si>
  <si>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</si>
  <si>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</si>
  <si>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6011</t>
  </si>
  <si>
    <t>Експлуатація та технічне обслуговування житлового фонду</t>
  </si>
  <si>
    <t>за  2024 рік</t>
  </si>
  <si>
    <t>41021400</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</si>
  <si>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</si>
  <si>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41033300</t>
  </si>
  <si>
    <t>Субвенція з державного бюджету місцевим бюджетам на забезпечення харчуванням учнів початкових класів закладів загальної середньої освіти</t>
  </si>
  <si>
    <t>41037400</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</si>
  <si>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</si>
  <si>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41051400</t>
  </si>
  <si>
    <t>1400</t>
  </si>
  <si>
    <t>1403</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</si>
  <si>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</si>
  <si>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</si>
  <si>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3110</t>
  </si>
  <si>
    <t>3112</t>
  </si>
  <si>
    <t>Заклади і заходи з питань дітей та їх соціального захисту</t>
  </si>
  <si>
    <t>Заходи державної політики з питань дітей та їх соціального захисту</t>
  </si>
  <si>
    <t xml:space="preserve">                                                                                    Додаток 4</t>
  </si>
  <si>
    <t xml:space="preserve">                                                                                    до рішення Радехівської міської ради</t>
  </si>
  <si>
    <t>(код бюджету)</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</si>
  <si>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</si>
  <si>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</si>
  <si>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</si>
  <si>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</si>
  <si>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</si>
  <si>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</si>
  <si>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Державний бюджет</t>
  </si>
  <si>
    <t>Освітня субвенція з державного бюджету місцевим бюджетам </t>
  </si>
  <si>
    <t>Обласний бюджет Львівської області</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</si>
  <si>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</si>
  <si>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Інші субвенції з місцевого бюджету  (на виконання  Комплексної програми «Безпечна Львівщина» на 2021-2025 роки»)</t>
  </si>
  <si>
    <t xml:space="preserve">Інші субвенції з місцевого бюджету  (на виконання  Регіональної програми забезпечення житлом дітей-сиріт, дітей, позбавлених батьківського піклування, та осіб з їх числа у Львівській області на 2021-2025 роки). </t>
  </si>
  <si>
    <t>Інші субвенції з місцевого бюджету  (на компенсацію витрат за надані послуги ІРЦ Радехівської міської ради дітям з особливими освітніми потребами, які проживають на території Лопатинської ТГ)</t>
  </si>
  <si>
    <t>Бюджет Лопатинської селищної територіальної громади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</si>
  <si>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</si>
  <si>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Інші дотації з місцевого бюджету</t>
  </si>
  <si>
    <t>ІІ. Трансферти до спеціального фонду бюджету</t>
  </si>
  <si>
    <t>Субвенція з місцевого бюджету за рахунок залишку коштів освітньої субвенції, що утворився на початок бюджетного періоду (придбання мультимедійного обладнання для 5-6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</si>
  <si>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 (для облаштування осередків для викладання навчального предмете "Захист України")</t>
  </si>
  <si>
    <t>Інші субвенції з місцевого бюджету  (на реалізацію проєкту часткового забезпечення витрат для організації гарячого харчування учнів 1-4 класів закладів загальної середньої освіти)</t>
  </si>
  <si>
    <t>Х</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</si>
  <si>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</si>
  <si>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</si>
  <si>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</si>
  <si>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</si>
  <si>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</si>
  <si>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</si>
  <si>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</si>
  <si>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</si>
  <si>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3719730</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</si>
  <si>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</si>
  <si>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в тому числі доріг :</t>
  </si>
  <si>
    <t>С141332 Торки-Ордів</t>
  </si>
  <si>
    <r>
      <rPr>
        <i/>
        <sz val="7"/>
        <color rgb="FF000000"/>
        <rFont val="Times New Roman"/>
        <family val="1"/>
        <charset val="204"/>
      </rPr>
      <t xml:space="preserve"> </t>
    </r>
    <r>
      <rPr>
        <i/>
        <sz val="14"/>
        <color rgb="FF000000"/>
        <rFont val="Times New Roman"/>
        <family val="1"/>
        <charset val="204"/>
      </rPr>
      <t xml:space="preserve">С141308 Радехів-Станин-Павлів </t>
    </r>
  </si>
  <si>
    <r>
      <rPr>
        <i/>
        <sz val="7"/>
        <color rgb="FF000000"/>
        <rFont val="Times New Roman"/>
        <family val="1"/>
        <charset val="204"/>
      </rPr>
      <t xml:space="preserve"> </t>
    </r>
    <r>
      <rPr>
        <i/>
        <sz val="14"/>
        <color rgb="FF000000"/>
        <rFont val="Times New Roman"/>
        <family val="1"/>
        <charset val="204"/>
      </rPr>
      <t>С141302 Поздимир-Яструбичі-Корчин</t>
    </r>
  </si>
  <si>
    <t xml:space="preserve">С141306 Радехів-Нивиці </t>
  </si>
  <si>
    <t xml:space="preserve">С141305 Радехів-Мукані </t>
  </si>
  <si>
    <t>С141304 Радехів-Синьків-Немилів</t>
  </si>
  <si>
    <t>С141307 Радехів-Дмитрів</t>
  </si>
  <si>
    <t>С141301 Радехів-Ганунин</t>
  </si>
  <si>
    <t>С141309 Синьків-Стремільче</t>
  </si>
  <si>
    <t xml:space="preserve">С141316 Сабанівка-Тетевчиці </t>
  </si>
  <si>
    <t>С141311 Розжалів-Корчин</t>
  </si>
  <si>
    <t>С141318 Забава-Старий Витків</t>
  </si>
  <si>
    <t>С141334 Броди-Червоноград-Радванці</t>
  </si>
  <si>
    <t xml:space="preserve">Інші субвенції з місцевого бюджету    </t>
  </si>
  <si>
    <t>в тому числі:</t>
  </si>
  <si>
    <t>на виконання Програми підтримки КЗ ЛОР «Підкамінський психоневрологічний інтернат на 2024 рік» -  на покращення матеріально-технічного стану закладу )</t>
  </si>
  <si>
    <t xml:space="preserve"> на виконання Програми підтримки КНП ЛОР «Львівський обласний Центр екстренної медичної допомоги та медицини катастроф» на 2024 рік </t>
  </si>
  <si>
    <t>на перевезення членів добровільного формування територіальної громади «Кристинопіль» до місць несіння служби територіальної оборони та харчування членів ДФТГ безпосередньо на місці служби</t>
  </si>
  <si>
    <t>Червоноградська міська територіальна громада</t>
  </si>
  <si>
    <t>3719800</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</si>
  <si>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</si>
  <si>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2024 рік </t>
  </si>
  <si>
    <t>на виконання Програми підтримки Головного управління Національної поліції у Львівській області в умовах воєнного стану на 2024 рік</t>
  </si>
  <si>
    <t>на виконання Програми покращення матеріально-технічної бази управління Державної казначейської служби України у Радехівському районі Львівської області в 2024 році</t>
  </si>
  <si>
    <t>на реалізацію Програми підтримки підрозділів територіальної оборони та Збройних сил України на 2024-2025 роки (в частині матеріально - технічного забезпечення військових частин), всього</t>
  </si>
  <si>
    <t>Військової частини Т0910</t>
  </si>
  <si>
    <t>Військової частини А0998</t>
  </si>
  <si>
    <t>Військової частини А1108</t>
  </si>
  <si>
    <t>Військової частини А4638</t>
  </si>
  <si>
    <t>Військової частини 2260</t>
  </si>
  <si>
    <t>Військової частини А4648</t>
  </si>
  <si>
    <t>Військової частини А4821</t>
  </si>
  <si>
    <t>Військової частини А0693</t>
  </si>
  <si>
    <t>Військової частини А4667</t>
  </si>
  <si>
    <t>Військової частини А4010</t>
  </si>
  <si>
    <t>Військової частини 3018</t>
  </si>
  <si>
    <t>Військової частини А 0989</t>
  </si>
  <si>
    <t>Військової частини А 0222</t>
  </si>
  <si>
    <t>Військової частини А 4056</t>
  </si>
  <si>
    <t>ІІ. Трансферти із спеціального фонду бюджету</t>
  </si>
  <si>
    <t>3719770</t>
  </si>
  <si>
    <t>Інші субвенції з місцевого бюджету (На співфінансування придбання шкільного автобуса )</t>
  </si>
  <si>
    <t>Інші субвенції з місцевого бюджету (На  Капітальний ремонт пішохідних тротуарів вуличної мережі м.Соснівка (для покращення умов реабілітації учасників бойових дій у лікарні в м.Соснівка)  )</t>
  </si>
  <si>
    <t>х</t>
  </si>
  <si>
    <t>Секретар міської ради ______________</t>
  </si>
  <si>
    <t>Марія КЛИМОЧКО</t>
  </si>
  <si>
    <t>Виконано за 2024 рік</t>
  </si>
  <si>
    <t>Відсоток виконання</t>
  </si>
  <si>
    <t>Затверджено на 2024 рік з урахуванням змін</t>
  </si>
  <si>
    <t>до рішення Радехівської міської  ради</t>
  </si>
  <si>
    <t>1354000000</t>
  </si>
  <si>
    <t>Код</t>
  </si>
  <si>
    <t>Найменування згідно з Класифікацією фінансування бюджету</t>
  </si>
  <si>
    <t>у тому числі бюджет розвитку</t>
  </si>
  <si>
    <t>Фінансування за типом кредитора</t>
  </si>
  <si>
    <t>Внутрішнє фінансування</t>
  </si>
  <si>
    <t>Фінансування за рахунок зміни залишків коштів бюджетів</t>
  </si>
  <si>
    <t>На початок періоду</t>
  </si>
  <si>
    <t>На кінець періоду</t>
  </si>
  <si>
    <t>Кошти, що передаються із загального фонду бюджету до бюджету розвитку (спеціального фонду)</t>
  </si>
  <si>
    <t>X</t>
  </si>
  <si>
    <t>Загальне фінансування</t>
  </si>
  <si>
    <t>Фінансування за типом боргового зобов’язання</t>
  </si>
  <si>
    <t>Фінансування за активними операціями</t>
  </si>
  <si>
    <t>Зміни обсягів бюджетних коштів</t>
  </si>
  <si>
    <t>Секретар міської ради</t>
  </si>
  <si>
    <t>Додаток 3</t>
  </si>
  <si>
    <t>грн.</t>
  </si>
  <si>
    <t>Код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</si>
  <si>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</si>
  <si>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місцевої/регіональної програми</t>
  </si>
  <si>
    <t>Дата та номер документа, яким затверджено місцеву регіональну програму</t>
  </si>
  <si>
    <t>ПЛАН</t>
  </si>
  <si>
    <t>ФАКТ</t>
  </si>
  <si>
    <t>0100000</t>
  </si>
  <si>
    <t>Радехівська міська рада</t>
  </si>
  <si>
    <t>0110180</t>
  </si>
  <si>
    <t>Програма  фінансового забезпечення представницьких витрат та інших видатків, пов’язаних з діяльністю Радехівської міської ради на  2024 -2026 роки</t>
  </si>
  <si>
    <t xml:space="preserve">№14  від 15.12.2023 р. </t>
  </si>
  <si>
    <t>0112152</t>
  </si>
  <si>
    <t>Забезпечення діяльності інших закладів у сфері охорони здоров`я</t>
  </si>
  <si>
    <t>Комплексна програма підтримки галузі охорони здоров"я на 2024-2026 роки</t>
  </si>
  <si>
    <t xml:space="preserve">№13  від 15.12.2023 р. </t>
  </si>
  <si>
    <t>0113033</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</si>
  <si>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2024-2026 роки</t>
  </si>
  <si>
    <t xml:space="preserve">№29  від 15.12.2023 р. </t>
  </si>
  <si>
    <t>0113035</t>
  </si>
  <si>
    <t>Програма  компенсації пільгових перевезень окремих категорій громадян (мешканців Радехівської ТГ) на залізничному транспорті приміського сполучення на 2024-2026 роки</t>
  </si>
  <si>
    <t xml:space="preserve">№30  від 15.12.2023 р. </t>
  </si>
  <si>
    <t>0113032</t>
  </si>
  <si>
    <t>Надання пільг окремим категоріям громадян з оплати послуг зв`язку</t>
  </si>
  <si>
    <t>Програма соціального захисту населення Радехівської територіальної громади  на 2024-2026 роки</t>
  </si>
  <si>
    <t xml:space="preserve"> № 10 від 15.12.2023 р. </t>
  </si>
  <si>
    <t>0113112</t>
  </si>
  <si>
    <t>Програма соціального захисту дітей-сиріт, дітей, позбавлених батьківського піклування, дітей із сімей, що опинилися в складних життєвих обставинах, дітей військовослужбовців, які загинули, знаходяться в полоні або вважаються безвісти зниклими по Радехівській міській територіальній громаді на 2024- 2026 роки</t>
  </si>
  <si>
    <t xml:space="preserve"> № 7 від 25.09.2024 р. </t>
  </si>
  <si>
    <t>0113160</t>
  </si>
  <si>
    <t>0113180</t>
  </si>
  <si>
    <t>0113192</t>
  </si>
  <si>
    <t>Надання фінансової підтримки громадським об`єднанням ветеранів і осіб з інвалідністю, діяльність яких має соціальну спрямованість</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</si>
  <si>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2024-2026 роки </t>
  </si>
  <si>
    <t xml:space="preserve">№11  від 15.12.2023 р. </t>
  </si>
  <si>
    <t>0113210</t>
  </si>
  <si>
    <t>Цільова програма організації та проведення громадських робіт Радехівської міської територіальної громади на 2024 рік</t>
  </si>
  <si>
    <t xml:space="preserve">№23  від 15.12.2023 р. </t>
  </si>
  <si>
    <t>0113230</t>
  </si>
  <si>
    <t>Видатки, пов`язані з наданням підтримки внутрішньо перемішеним та/або евакуйованим особам у зв`язку із введенням воєнного стану</t>
  </si>
  <si>
    <t xml:space="preserve">Програма підтримки внутрішньо переміщених та/або евакуйованих осіб у зв’язку із введенням воєнного стану на 2024-2025 роки </t>
  </si>
  <si>
    <t xml:space="preserve">№9  від 15.12.2023 р. </t>
  </si>
  <si>
    <t>0113242</t>
  </si>
  <si>
    <t xml:space="preserve">№10  від 15.12.2023 р. </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</si>
  <si>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</si>
  <si>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</si>
  <si>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</si>
  <si>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одиноких та інших категорій  жителів громади</t>
  </si>
  <si>
    <t>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до Великодніх Свят та до Дня Героя</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</si>
  <si>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 зниклих безвісти та полонених військовослужбовців</t>
  </si>
  <si>
    <t xml:space="preserve">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</si>
  <si>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 надання матеріальної допомоги до Дня Святого Миколая для дітей загиблих, зниклих безвісти та полонених  учасникам АТО,ООС,  учасників бойових дій під час відсічі збройної агресії проти України або ліквідації (нейтралізації) збройного конфлікту</t>
  </si>
  <si>
    <t>забезпечення твердим паливом ( на одне домогосподарство)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t>
  </si>
  <si>
    <t>надання матеріальної допомоги сім’ям загиблих та померлих  учасників АТО, ООС, військовослужбовців, учасників бойових дій під час відсічі збройної агресії проти України або ліквідації (нейтралізації) збройного конфлікту, на встановлення пам’ятників на могилах загиблих та померлих Захисників та Захисниць України на умовах співфінансування з обласного бюджету</t>
  </si>
  <si>
    <t>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</si>
  <si>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 xml:space="preserve"> Програма підтримки громадян – жителів Радехівської  територіальної громади , які прийняті на військову  службу до Збройних сил України у 2024-2026 роках</t>
  </si>
  <si>
    <t xml:space="preserve">№ 12  від 15.12.2023 р. </t>
  </si>
  <si>
    <t>Програма підтримки породіль у Радехівській міській територіальній громаді на 2024-2026 роки</t>
  </si>
  <si>
    <t>№ 15 від 21.02.2024 р.</t>
  </si>
  <si>
    <t>0114082</t>
  </si>
  <si>
    <t>Програма Культурного розвитку Радехівської міської територіальної громади на 2024-2026 роки</t>
  </si>
  <si>
    <t xml:space="preserve">№ 25  від 15.12.2023 р. </t>
  </si>
  <si>
    <t>0115011</t>
  </si>
  <si>
    <t>Програма розвитку фізичної культури та спорту на території Радехівської  територіальної громади на 2024-2026 роки</t>
  </si>
  <si>
    <t xml:space="preserve"> № 28  від 15.12.2023 р. </t>
  </si>
  <si>
    <t>0115041</t>
  </si>
  <si>
    <t>0115061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</si>
  <si>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</si>
  <si>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0115062</t>
  </si>
  <si>
    <t>0116011</t>
  </si>
  <si>
    <t xml:space="preserve">Програма сприяння створення, фінансової підтримки об’єднань співвласників багатоквартирних будинків (ОСББ) в Радехівській міській територіальній громаді на 2024-2026 роки </t>
  </si>
  <si>
    <t xml:space="preserve">№ 16  від 21.02.2024 р. </t>
  </si>
  <si>
    <t>0116013</t>
  </si>
  <si>
    <t>Програма житлово-комунального господарства та благоустрою Радехівської міської  територіальної громади на 2024-2026 роки</t>
  </si>
  <si>
    <t xml:space="preserve"> № 18  від 15.12.2023 р. </t>
  </si>
  <si>
    <t>0116030</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</si>
  <si>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2024-2026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</si>
  <si>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 xml:space="preserve">№ 11  від 15.12.2023 р. </t>
  </si>
  <si>
    <t>0116020</t>
  </si>
  <si>
    <t>Програма фінансової підтримки комунальних підприємств Радехівської міської територіальної громади на 2023-2024 роки.</t>
  </si>
  <si>
    <t>№ 3  від 13.09.2023 р.</t>
  </si>
  <si>
    <t>Програма "Питна вода на території Радехівської міської територіальної громади на 2023-2025 роки"</t>
  </si>
  <si>
    <t xml:space="preserve"> № 5  від 29.03.2023 р. </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</si>
  <si>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</si>
  <si>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обгрунтованих витрат на їх виробництво (надання)</t>
  </si>
  <si>
    <t>0116083</t>
  </si>
  <si>
    <t>Програма забезпечення житлом дітей-сиріт, дітей, позбавлених батьківського піклування та осіб з їх числа у Радехівській територіальній громаді на 2024-2025  роки</t>
  </si>
  <si>
    <t xml:space="preserve">№ 5  від 24.04.2024 р. </t>
  </si>
  <si>
    <t>0117130</t>
  </si>
  <si>
    <t>Здійснення заходів із землеустрою</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</si>
  <si>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2024 рік</t>
  </si>
  <si>
    <t xml:space="preserve">№ 31  від 15.12.2023 р. </t>
  </si>
  <si>
    <t>Програма проведення робіт з встановлення (зміни) меж населених пунктів Радехівської міської територіальної громади на 2024 рік</t>
  </si>
  <si>
    <t xml:space="preserve">№ 32  від 15.12.2023 р. </t>
  </si>
  <si>
    <t>Програма з проведення нормативної грошової оцінки земель населених пунктів, що входять до Радехівської міської  територіальної громади на 2024 рік</t>
  </si>
  <si>
    <t xml:space="preserve">№ 35  від 15.12.2023 р. </t>
  </si>
  <si>
    <t>0117350</t>
  </si>
  <si>
    <t>Програма розроблення містобудівної документації населених пунктів Радехівської міської  територіальної громади на 2024 рік</t>
  </si>
  <si>
    <t xml:space="preserve">№ 33  від 15.12.2023 р. </t>
  </si>
  <si>
    <t>0117461</t>
  </si>
  <si>
    <t>Програма реконструкції, ремонту та утримання вулиць і доріг  Радехівської міської  територіальної громадина  на 2024-2026 роки</t>
  </si>
  <si>
    <t xml:space="preserve">№ 19  від 15.12.2023 р. </t>
  </si>
  <si>
    <t>Програма утримання та ремонту  автомобільних доріг  загального  користування державного значення в межах території Радехівської міської територіальної громади на 2024 рік</t>
  </si>
  <si>
    <t xml:space="preserve">№ 4 від 22.05.2024 р. </t>
  </si>
  <si>
    <t>0117530</t>
  </si>
  <si>
    <t>Інші заходи у сфері зв`язку, телекомунікації та інформатики</t>
  </si>
  <si>
    <t>Програма Інформатизації та впровадження системи електронного голосування «Голос» Радехівської міської ради  на 2023-2025 роки</t>
  </si>
  <si>
    <t xml:space="preserve">№ 4  від 26.07.2023 р. </t>
  </si>
  <si>
    <t>0117660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</si>
  <si>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</si>
  <si>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2024 рік</t>
  </si>
  <si>
    <t xml:space="preserve">№ 34  від 15.12.2023 р. </t>
  </si>
  <si>
    <t>0117670</t>
  </si>
  <si>
    <t>Внески до статутного капіталу суб`єктів господарювання</t>
  </si>
  <si>
    <t>Програма здійснення внесків Радехівською міською радою до статутних капіталів  комунальних підприємств територіальної громади  на 2023-2024  роки</t>
  </si>
  <si>
    <t xml:space="preserve"> № 69  від 23.02.2023 р. </t>
  </si>
  <si>
    <t>0117693</t>
  </si>
  <si>
    <t>Інші заходи, пов`язані з економічною діяльністю</t>
  </si>
  <si>
    <t>Програма ефективного використання майна спільної комунальної власності Радехівської територіальної громади у 2024-2026 роках</t>
  </si>
  <si>
    <t xml:space="preserve">№ 16  від 15.12.2023 р. </t>
  </si>
  <si>
    <t>Програма на проведення ремонтів та утримання нежитлових приміщень комунальної власності Радехівської міської територіальної громади на 2024 рік</t>
  </si>
  <si>
    <t xml:space="preserve">№ 17  від 15.12.2023 р. </t>
  </si>
  <si>
    <t>0118110</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</si>
  <si>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2024-2026 роки</t>
  </si>
  <si>
    <t xml:space="preserve">№ 20  від 15.12.2023 р. </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</si>
  <si>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2024-2026 роки</t>
  </si>
  <si>
    <t xml:space="preserve">№ 21  від 15.12.2023 р. </t>
  </si>
  <si>
    <t>0118230</t>
  </si>
  <si>
    <t>Програма безпечна громада  на 2024-2026 роки</t>
  </si>
  <si>
    <t xml:space="preserve">№ 22  від 15.12.2023 р. </t>
  </si>
  <si>
    <t>Програма забезпечення життєдіяльності та безпеки Радехівської міської територіальної громади в умовах воєнної загрози на 2024-2025 роки</t>
  </si>
  <si>
    <t xml:space="preserve">№ 14  від 21.02.2024 р. </t>
  </si>
  <si>
    <t>0118240</t>
  </si>
  <si>
    <r>
      <rPr>
        <b/>
        <sz val="12"/>
        <rFont val="Times New Roman"/>
        <family val="1"/>
        <charset val="204"/>
      </rPr>
      <t>Програма підтримки підрозділів територіальної оборони та Збройних сил України на 2024-2025 роки :</t>
    </r>
    <r>
      <rPr>
        <sz val="12"/>
        <rFont val="Times New Roman"/>
        <family val="1"/>
        <charset val="204"/>
      </rPr>
      <t xml:space="preserve"> ( в частині забезпечення переміщення військ (сил), проведення мобілізаційних заходів, доставки військовозобов’язаних, військових,  резервістів та проведення заходів призову на строкову службу та військову службу за контрактом </t>
    </r>
  </si>
  <si>
    <t xml:space="preserve">№ 8  від 15.12.2023 р. </t>
  </si>
  <si>
    <t xml:space="preserve">( в частині зміцнення матеріально-технічної бази військових частин, шляхом придбання тепловізійних прицілів, тепловізорів, квадрокоптерів та ін. обладнання </t>
  </si>
  <si>
    <t>0118330</t>
  </si>
  <si>
    <t>Програма охорони навколишнього середовища на території Радехівської міської  територіальної громадина  на 2024-2026 роки</t>
  </si>
  <si>
    <t xml:space="preserve">№ 24  від 15.12.2023 р. </t>
  </si>
  <si>
    <t>0118340</t>
  </si>
  <si>
    <t>0118410</t>
  </si>
  <si>
    <t>Програма діяльності та фінансової підтримки Комунального підприємства " Телестудія " Радехів" на 2024-2026 роки</t>
  </si>
  <si>
    <t xml:space="preserve">№ 26  від 15.12.2023 р. </t>
  </si>
  <si>
    <t>0118420</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</si>
  <si>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2024 – 2026 роки.»</t>
  </si>
  <si>
    <t xml:space="preserve">№ 27  від 15.12.2023 р. </t>
  </si>
  <si>
    <t>0600000</t>
  </si>
  <si>
    <t>Відділ організації діяльності закладів освіти Радехівської міської ради</t>
  </si>
  <si>
    <t>0611142</t>
  </si>
  <si>
    <t xml:space="preserve">Програма національно-патріотичного виховання дітей та молоді Радехівської міської територіальної громади на 2022-2025 роки. </t>
  </si>
  <si>
    <t>№ 22 від 22.02.2022 р.</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</si>
  <si>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</si>
  <si>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</si>
  <si>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Програма оздоровлення та відпочинку дітей Радехівської міської територіальної громади на 2023-2024 роки</t>
  </si>
  <si>
    <t>№ 5 від 10.05.2023 р.</t>
  </si>
  <si>
    <t>0613230</t>
  </si>
  <si>
    <t xml:space="preserve">Програма підтримки внутрішньо переміщених та/або евакуйованих осіб у зв’язку із введенням воєнного стану на 2024 – 2025 роки </t>
  </si>
  <si>
    <t xml:space="preserve">№ 9  від 15.12.2023 р. </t>
  </si>
  <si>
    <t>0618240</t>
  </si>
  <si>
    <r>
      <rPr>
        <b/>
        <sz val="12"/>
        <rFont val="Times New Roman"/>
        <family val="1"/>
        <charset val="204"/>
      </rPr>
      <t>Програма підтримки підрозділів територіальної оборони та Збройних сил України на 2024-2025 роки</t>
    </r>
    <r>
      <rPr>
        <sz val="12"/>
        <rFont val="Times New Roman"/>
        <family val="1"/>
        <charset val="204"/>
      </rPr>
      <t>. (в частині забезпечення переміщення військ (сил), проведення мобілізаційних заходів, доставки військовозобов’язаних, військових,  резервістів та проведення заходів призову на строкову службу та військову службу за контрактом)</t>
    </r>
  </si>
  <si>
    <t>(в частині утримання майна комунальної власності територіальної громади, що безоплатно передане у тимчасове користування військової частини, шляхом оплати комунальних послуг та енергоносіїв, послуг за користування інтернетом)</t>
  </si>
  <si>
    <t>3700000</t>
  </si>
  <si>
    <t>Фінансовий відділ Радехівської міської ради</t>
  </si>
  <si>
    <t xml:space="preserve">Програми підтримки КЗ ЛОР «Підкамінський психоневрологічний інтернат на 2024 рік» </t>
  </si>
  <si>
    <t xml:space="preserve">№ 6  від 24.04.2024 р. </t>
  </si>
  <si>
    <t xml:space="preserve">Програма підтримки КНП ЛОР «Львівський обласний Центр екстренної медичної допомоги та медицини катастроф» на 2024 рік </t>
  </si>
  <si>
    <t xml:space="preserve">№ 3  від 22.05.2024 р. </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</si>
  <si>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2024 рік </t>
  </si>
  <si>
    <t xml:space="preserve"> № 13  від 21.02.2024 р. </t>
  </si>
  <si>
    <t>Програма підтримки Головного управління Національної поліції у Львівській області в умовах воєнного стану на 2024 рік</t>
  </si>
  <si>
    <t xml:space="preserve"> № 12  від 21.02.2024 р. </t>
  </si>
  <si>
    <t>Програма покращення матеріально-технічної бази управління Державної казначейської служби України у Радехівському районі Львівської області в 2024 році</t>
  </si>
  <si>
    <t xml:space="preserve">№ 5  від 24.07.2024 р. </t>
  </si>
  <si>
    <t xml:space="preserve"> Програма підтримки підрозділів територіальної оборони та Збройних сил України на 2024-2025 роки (в частині матеріально - технічного забезпечення військових частин)</t>
  </si>
  <si>
    <t>Всього</t>
  </si>
  <si>
    <t>0133</t>
  </si>
  <si>
    <t>0763</t>
  </si>
  <si>
    <t>1050</t>
  </si>
  <si>
    <t>1090</t>
  </si>
  <si>
    <t>0829</t>
  </si>
  <si>
    <t>0810</t>
  </si>
  <si>
    <t>0610</t>
  </si>
  <si>
    <t>0620</t>
  </si>
  <si>
    <t>0640</t>
  </si>
  <si>
    <t>0421</t>
  </si>
  <si>
    <t>0443</t>
  </si>
  <si>
    <t>0456</t>
  </si>
  <si>
    <t>0460</t>
  </si>
  <si>
    <t>0490</t>
  </si>
  <si>
    <t>0320</t>
  </si>
  <si>
    <t>0380</t>
  </si>
  <si>
    <t>0540</t>
  </si>
  <si>
    <t>0830</t>
  </si>
  <si>
    <t>0990</t>
  </si>
  <si>
    <t>Звіт про виконання  бюджету Радехівської міської  територіальної громади по доходах</t>
  </si>
  <si>
    <t>Звіт про виконання  бюджету Радехівської міської  територіальної громади по видатках</t>
  </si>
  <si>
    <t>Додаток 1</t>
  </si>
  <si>
    <t>Додаток 5</t>
  </si>
  <si>
    <t>Спеціальний фонд усього</t>
  </si>
  <si>
    <t>усього</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</si>
  <si>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</si>
  <si>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</si>
  <si>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Звіт про виконання бюджету Радехівської міської  територіальної громади</t>
  </si>
  <si>
    <t>по фінансуванню місцевого  бюджету за 2024 рік</t>
  </si>
  <si>
    <t xml:space="preserve">затверджено на 2024 рік з урахуванням змін </t>
  </si>
  <si>
    <t xml:space="preserve">виконано за 2024 рік </t>
  </si>
  <si>
    <t>Додаток 2</t>
  </si>
  <si>
    <t>по міжбюджетних трансфертах  на 2024 рік</t>
  </si>
  <si>
    <t>Звіт про  витрати  бюджету Радехівської міської територіальної громади  на реалізацію місцевих /регіональних програм у 2024 році</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</si>
  <si>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</si>
  <si>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</si>
  <si>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</si>
  <si>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</si>
  <si>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Будівництво1 освітніх установ та закладів</t>
  </si>
  <si>
    <t>Будівництво теплових мереж із встановленням тепло генераторного модуля транспортабельного ТМ-Т-500 OVK-KZOT.-K-500 по вул..Паркова у м.Радехів Львівської області</t>
  </si>
  <si>
    <t>2024-2025</t>
  </si>
  <si>
    <t>УСЬОГО</t>
  </si>
  <si>
    <t>Додаток 6</t>
  </si>
  <si>
    <t>Звіт  по капітальних вкладень бюджету у розрізі інвестиційних проектів за  2024  рік</t>
  </si>
  <si>
    <t>Затверджений обсяг капітальних вкладень місцевого бюджету у 2024  році, гривень</t>
  </si>
  <si>
    <t>Фактичний обсяг капітальних вкладень місцевого бюджету у 2024  році, гривень</t>
  </si>
  <si>
    <t>Рівень готовності проекту на кінець 2024 року, %</t>
  </si>
  <si>
    <t>0617321</t>
  </si>
  <si>
    <t>від 26 лютого  2025  року № 3</t>
  </si>
  <si>
    <t xml:space="preserve">                                                                                    від 26 лютого  2025 року № 3</t>
  </si>
</sst>
</file>

<file path=xl/styles.xml><?xml version="1.0" encoding="utf-8"?>
<styleSheet xmlns="http://schemas.openxmlformats.org/spreadsheetml/2006/main">
  <numFmts count="4">
    <numFmt numFmtId="164" formatCode="0.0"/>
    <numFmt numFmtId="165" formatCode="#,##0.0"/>
    <numFmt numFmtId="166" formatCode="#,##0.00;\-#,##0.00"/>
    <numFmt numFmtId="167" formatCode="#,##0;\-#,##0"/>
  </numFmts>
  <fonts count="65">
    <font>
      <sz val="10"/>
      <name val="Arial Cyr"/>
      <charset val="204"/>
    </font>
    <font>
      <sz val="10"/>
      <color theme="1"/>
      <name val="Calibri"/>
      <family val="2"/>
      <charset val="204"/>
      <scheme val="minor"/>
    </font>
    <font>
      <sz val="10"/>
      <color theme="1"/>
      <name val="Calibri"/>
      <family val="2"/>
      <charset val="204"/>
      <scheme val="minor"/>
    </font>
    <font>
      <sz val="10"/>
      <name val="Times New Roman"/>
      <family val="1"/>
      <charset val="1"/>
    </font>
    <font>
      <sz val="14"/>
      <name val="Times New Roman"/>
      <family val="1"/>
      <charset val="1"/>
    </font>
    <font>
      <sz val="12"/>
      <name val="Times New Roman"/>
      <family val="1"/>
      <charset val="1"/>
    </font>
    <font>
      <b/>
      <sz val="16"/>
      <name val="Times New Roman"/>
      <family val="1"/>
      <charset val="1"/>
    </font>
    <font>
      <b/>
      <sz val="14"/>
      <name val="Times New Roman"/>
      <family val="1"/>
      <charset val="1"/>
    </font>
    <font>
      <b/>
      <sz val="12"/>
      <name val="Times New Roman"/>
      <family val="1"/>
      <charset val="1"/>
    </font>
    <font>
      <b/>
      <sz val="11"/>
      <name val="Times New Roman"/>
      <family val="1"/>
      <charset val="1"/>
    </font>
    <font>
      <b/>
      <sz val="10"/>
      <name val="Times New Roman"/>
      <family val="1"/>
      <charset val="1"/>
    </font>
    <font>
      <sz val="10"/>
      <name val="Times New Roman"/>
      <family val="1"/>
      <charset val="204"/>
    </font>
    <font>
      <sz val="10"/>
      <name val="Arial Cyr"/>
      <charset val="204"/>
    </font>
    <font>
      <sz val="11"/>
      <color indexed="8"/>
      <name val="Calibri"/>
      <family val="2"/>
      <charset val="204"/>
    </font>
    <font>
      <sz val="10"/>
      <name val="Times New Roman"/>
      <family val="1"/>
    </font>
    <font>
      <sz val="9"/>
      <name val="Times New Roman CYR"/>
      <family val="1"/>
      <charset val="204"/>
    </font>
    <font>
      <b/>
      <sz val="10"/>
      <name val="Arial Cyr"/>
      <charset val="204"/>
    </font>
    <font>
      <b/>
      <sz val="12"/>
      <name val="Times New Roman"/>
      <family val="1"/>
      <charset val="204"/>
    </font>
    <font>
      <sz val="12"/>
      <name val="Times New Roman"/>
      <family val="1"/>
      <charset val="204"/>
    </font>
    <font>
      <sz val="10"/>
      <name val="Times New Roman Cyr"/>
      <family val="1"/>
      <charset val="204"/>
    </font>
    <font>
      <b/>
      <i/>
      <sz val="12"/>
      <name val="Times New Roman"/>
      <family val="1"/>
      <charset val="1"/>
    </font>
    <font>
      <b/>
      <i/>
      <sz val="14"/>
      <name val="Times New Roman"/>
      <family val="1"/>
      <charset val="1"/>
    </font>
    <font>
      <b/>
      <i/>
      <sz val="10"/>
      <name val="Arial Cyr"/>
      <charset val="204"/>
    </font>
    <font>
      <b/>
      <sz val="14"/>
      <name val="Times New Roman"/>
      <family val="1"/>
      <charset val="204"/>
    </font>
    <font>
      <b/>
      <sz val="18"/>
      <name val="Times New Roman"/>
      <family val="1"/>
      <charset val="204"/>
    </font>
    <font>
      <sz val="14"/>
      <name val="Times New Roman"/>
      <family val="1"/>
      <charset val="204"/>
    </font>
    <font>
      <b/>
      <i/>
      <sz val="14"/>
      <name val="Times New Roman"/>
      <family val="1"/>
      <charset val="204"/>
    </font>
    <font>
      <b/>
      <sz val="16"/>
      <name val="Times New Roman"/>
      <family val="1"/>
      <charset val="204"/>
    </font>
    <font>
      <sz val="14"/>
      <name val="Times New Roman"/>
      <family val="1"/>
    </font>
    <font>
      <sz val="14"/>
      <name val="Times New Roman Cyr"/>
      <family val="1"/>
      <charset val="204"/>
    </font>
    <font>
      <b/>
      <i/>
      <sz val="12"/>
      <name val="Times New Roman"/>
      <family val="1"/>
      <charset val="204"/>
    </font>
    <font>
      <i/>
      <sz val="14"/>
      <name val="Times New Roman"/>
      <family val="1"/>
      <charset val="204"/>
    </font>
    <font>
      <b/>
      <sz val="10"/>
      <name val="Times New Roman"/>
      <family val="1"/>
      <charset val="204"/>
    </font>
    <font>
      <sz val="14"/>
      <color rgb="FF000000"/>
      <name val="Times New Roman"/>
      <family val="1"/>
      <charset val="204"/>
    </font>
    <font>
      <b/>
      <sz val="14"/>
      <color rgb="FF000000"/>
      <name val="Times New Roman"/>
      <family val="1"/>
      <charset val="204"/>
    </font>
    <font>
      <sz val="12"/>
      <color rgb="FF000000"/>
      <name val="Times New Roman"/>
      <family val="1"/>
      <charset val="204"/>
    </font>
    <font>
      <b/>
      <i/>
      <sz val="14"/>
      <color rgb="FF000000"/>
      <name val="Times New Roman"/>
      <family val="1"/>
      <charset val="204"/>
    </font>
    <font>
      <b/>
      <sz val="12"/>
      <color rgb="FF000000"/>
      <name val="Times New Roman"/>
      <family val="1"/>
      <charset val="204"/>
    </font>
    <font>
      <sz val="12"/>
      <color theme="1"/>
      <name val="Times New Roman"/>
      <family val="1"/>
      <charset val="204"/>
    </font>
    <font>
      <sz val="8"/>
      <color rgb="FF000000"/>
      <name val="Tahoma"/>
      <family val="2"/>
      <charset val="204"/>
    </font>
    <font>
      <i/>
      <sz val="10"/>
      <name val="Arial Cyr"/>
      <charset val="204"/>
    </font>
    <font>
      <b/>
      <i/>
      <sz val="12"/>
      <color theme="1"/>
      <name val="Times New Roman"/>
      <family val="1"/>
      <charset val="204"/>
    </font>
    <font>
      <b/>
      <i/>
      <sz val="12"/>
      <color rgb="FF000000"/>
      <name val="Times New Roman"/>
      <family val="1"/>
      <charset val="204"/>
    </font>
    <font>
      <b/>
      <sz val="13"/>
      <name val="Times New Roman"/>
      <family val="1"/>
      <charset val="1"/>
    </font>
    <font>
      <sz val="11"/>
      <name val="Times New Roman"/>
      <family val="1"/>
      <charset val="1"/>
    </font>
    <font>
      <b/>
      <sz val="13"/>
      <color rgb="FF000000"/>
      <name val="Times New Roman"/>
      <family val="1"/>
      <charset val="204"/>
    </font>
    <font>
      <sz val="11"/>
      <color rgb="FF006100"/>
      <name val="Calibri"/>
      <family val="2"/>
      <charset val="204"/>
      <scheme val="minor"/>
    </font>
    <font>
      <b/>
      <u/>
      <sz val="12"/>
      <name val="Times New Roman"/>
      <family val="1"/>
      <charset val="204"/>
    </font>
    <font>
      <b/>
      <sz val="14"/>
      <color indexed="8"/>
      <name val="Times New Roman"/>
      <family val="1"/>
      <charset val="204"/>
    </font>
    <font>
      <sz val="14"/>
      <color theme="1"/>
      <name val="Times New Roman"/>
      <family val="1"/>
      <charset val="204"/>
    </font>
    <font>
      <sz val="11"/>
      <name val="Times New Roman"/>
      <family val="1"/>
      <charset val="204"/>
    </font>
    <font>
      <i/>
      <sz val="14"/>
      <color rgb="FF000000"/>
      <name val="Times New Roman"/>
      <family val="1"/>
      <charset val="204"/>
    </font>
    <font>
      <i/>
      <sz val="7"/>
      <color rgb="FF000000"/>
      <name val="Times New Roman"/>
      <family val="1"/>
      <charset val="204"/>
    </font>
    <font>
      <b/>
      <sz val="14"/>
      <color theme="1"/>
      <name val="Times New Roman"/>
      <family val="1"/>
      <charset val="204"/>
    </font>
    <font>
      <i/>
      <sz val="14"/>
      <color theme="1"/>
      <name val="Times New Roman"/>
      <family val="1"/>
      <charset val="204"/>
    </font>
    <font>
      <b/>
      <sz val="9"/>
      <name val="Times New Roman"/>
      <family val="1"/>
      <charset val="204"/>
    </font>
    <font>
      <b/>
      <sz val="12"/>
      <color theme="1"/>
      <name val="Times New Roman"/>
      <family val="1"/>
      <charset val="204"/>
    </font>
    <font>
      <sz val="14"/>
      <name val="Arial Cyr"/>
      <charset val="204"/>
    </font>
    <font>
      <sz val="12"/>
      <name val="Arial Cyr"/>
      <charset val="204"/>
    </font>
    <font>
      <i/>
      <sz val="12"/>
      <name val="Times New Roman"/>
      <family val="1"/>
      <charset val="204"/>
    </font>
    <font>
      <b/>
      <sz val="11"/>
      <name val="Times New Roman"/>
      <family val="1"/>
      <charset val="204"/>
    </font>
    <font>
      <b/>
      <sz val="9"/>
      <color theme="1"/>
      <name val="Times New Roman"/>
      <family val="1"/>
      <charset val="204"/>
    </font>
    <font>
      <b/>
      <sz val="12"/>
      <color indexed="8"/>
      <name val="Times New Roman"/>
      <family val="1"/>
      <charset val="204"/>
    </font>
    <font>
      <b/>
      <sz val="10"/>
      <color theme="1"/>
      <name val="Times New Roman"/>
      <family val="1"/>
      <charset val="204"/>
    </font>
    <font>
      <b/>
      <sz val="12"/>
      <name val="Arial Cyr"/>
      <charset val="204"/>
    </font>
  </fonts>
  <fills count="1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FF"/>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indexed="41"/>
        <bgColor indexed="64"/>
      </patternFill>
    </fill>
    <fill>
      <patternFill patternType="solid">
        <fgColor theme="8" tint="0.59999389629810485"/>
        <bgColor indexed="64"/>
      </patternFill>
    </fill>
    <fill>
      <patternFill patternType="solid">
        <fgColor indexed="9"/>
        <bgColor indexed="64"/>
      </patternFill>
    </fill>
  </fills>
  <borders count="98">
    <border>
      <left/>
      <right/>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style="medium">
        <color indexed="8"/>
      </top>
      <bottom style="thin">
        <color indexed="8"/>
      </bottom>
      <diagonal/>
    </border>
    <border>
      <left style="thin">
        <color indexed="8"/>
      </left>
      <right/>
      <top style="thin">
        <color indexed="8"/>
      </top>
      <bottom/>
      <diagonal/>
    </border>
    <border>
      <left style="thin">
        <color indexed="8"/>
      </left>
      <right style="thin">
        <color indexed="8"/>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style="thin">
        <color indexed="8"/>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bottom/>
      <diagonal/>
    </border>
    <border>
      <left style="thin">
        <color indexed="64"/>
      </left>
      <right style="thin">
        <color indexed="64"/>
      </right>
      <top style="thin">
        <color indexed="64"/>
      </top>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8"/>
      </left>
      <right/>
      <top/>
      <bottom style="thin">
        <color indexed="8"/>
      </bottom>
      <diagonal/>
    </border>
    <border>
      <left/>
      <right style="thin">
        <color indexed="64"/>
      </right>
      <top style="thin">
        <color indexed="64"/>
      </top>
      <bottom style="thin">
        <color indexed="64"/>
      </bottom>
      <diagonal/>
    </border>
    <border>
      <left style="medium">
        <color indexed="8"/>
      </left>
      <right/>
      <top style="medium">
        <color indexed="8"/>
      </top>
      <bottom/>
      <diagonal/>
    </border>
    <border>
      <left style="medium">
        <color indexed="64"/>
      </left>
      <right style="thin">
        <color indexed="8"/>
      </right>
      <top style="medium">
        <color indexed="64"/>
      </top>
      <bottom/>
      <diagonal/>
    </border>
    <border>
      <left style="thin">
        <color indexed="8"/>
      </left>
      <right/>
      <top style="medium">
        <color indexed="64"/>
      </top>
      <bottom style="thin">
        <color indexed="8"/>
      </bottom>
      <diagonal/>
    </border>
    <border>
      <left style="thin">
        <color indexed="8"/>
      </left>
      <right style="thin">
        <color indexed="8"/>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8"/>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8"/>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indexed="64"/>
      </left>
      <right/>
      <top style="thin">
        <color indexed="64"/>
      </top>
      <bottom/>
      <diagonal/>
    </border>
    <border>
      <left style="thin">
        <color rgb="FF000000"/>
      </left>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medium">
        <color indexed="64"/>
      </left>
      <right/>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bottom/>
      <diagonal/>
    </border>
    <border>
      <left/>
      <right style="thin">
        <color indexed="8"/>
      </right>
      <top style="medium">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
      <left/>
      <right style="medium">
        <color indexed="64"/>
      </right>
      <top/>
      <bottom style="thin">
        <color indexed="8"/>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rgb="FF000000"/>
      </right>
      <top style="thin">
        <color rgb="FF000000"/>
      </top>
      <bottom style="thin">
        <color rgb="FF000000"/>
      </bottom>
      <diagonal/>
    </border>
    <border>
      <left style="medium">
        <color indexed="64"/>
      </left>
      <right/>
      <top/>
      <bottom/>
      <diagonal/>
    </border>
    <border>
      <left style="thin">
        <color indexed="64"/>
      </left>
      <right style="medium">
        <color indexed="64"/>
      </right>
      <top/>
      <bottom/>
      <diagonal/>
    </border>
  </borders>
  <cellStyleXfs count="35">
    <xf numFmtId="0" fontId="0" fillId="0" borderId="0"/>
    <xf numFmtId="0" fontId="13" fillId="0" borderId="0"/>
    <xf numFmtId="0" fontId="12" fillId="0" borderId="0"/>
    <xf numFmtId="0" fontId="2" fillId="0" borderId="0"/>
    <xf numFmtId="0" fontId="39" fillId="0" borderId="0"/>
    <xf numFmtId="0" fontId="46" fillId="1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cellStyleXfs>
  <cellXfs count="879">
    <xf numFmtId="0" fontId="0" fillId="0" borderId="0" xfId="0"/>
    <xf numFmtId="0" fontId="3" fillId="0" borderId="0" xfId="0" applyFont="1"/>
    <xf numFmtId="49" fontId="3" fillId="0" borderId="0" xfId="0" applyNumberFormat="1" applyFont="1"/>
    <xf numFmtId="0" fontId="3" fillId="0" borderId="0" xfId="0" applyFont="1" applyFill="1" applyBorder="1"/>
    <xf numFmtId="49" fontId="3" fillId="0" borderId="0" xfId="0" applyNumberFormat="1" applyFont="1" applyFill="1" applyBorder="1"/>
    <xf numFmtId="0" fontId="4"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Fill="1" applyBorder="1" applyAlignment="1">
      <alignment vertical="center"/>
    </xf>
    <xf numFmtId="49" fontId="8" fillId="0" borderId="0" xfId="0" applyNumberFormat="1" applyFont="1" applyFill="1" applyBorder="1" applyAlignment="1" applyProtection="1">
      <alignment horizontal="center" vertical="center" wrapText="1"/>
      <protection hidden="1"/>
    </xf>
    <xf numFmtId="1" fontId="3" fillId="0" borderId="0" xfId="0" applyNumberFormat="1" applyFont="1" applyFill="1" applyBorder="1" applyAlignment="1" applyProtection="1">
      <alignment horizontal="center"/>
      <protection hidden="1"/>
    </xf>
    <xf numFmtId="164" fontId="3" fillId="0" borderId="0" xfId="0" applyNumberFormat="1" applyFont="1" applyFill="1" applyBorder="1" applyAlignment="1" applyProtection="1">
      <alignment horizontal="center"/>
    </xf>
    <xf numFmtId="2" fontId="15" fillId="0" borderId="0" xfId="1" applyNumberFormat="1" applyFont="1" applyFill="1" applyBorder="1" applyAlignment="1" applyProtection="1">
      <alignment horizontal="right"/>
    </xf>
    <xf numFmtId="0" fontId="17" fillId="0" borderId="0" xfId="0" applyFont="1" applyAlignment="1">
      <alignment horizontal="left" wrapText="1"/>
    </xf>
    <xf numFmtId="0" fontId="18" fillId="0" borderId="0" xfId="0" applyFont="1" applyBorder="1" applyAlignment="1">
      <alignment horizontal="center" vertical="top" wrapText="1"/>
    </xf>
    <xf numFmtId="0" fontId="11" fillId="0" borderId="0" xfId="0" applyFont="1" applyBorder="1" applyAlignment="1">
      <alignment horizontal="center" vertical="top" wrapText="1"/>
    </xf>
    <xf numFmtId="0" fontId="11" fillId="0" borderId="0" xfId="0" applyFont="1" applyBorder="1"/>
    <xf numFmtId="0" fontId="11" fillId="0" borderId="0" xfId="0" applyFont="1"/>
    <xf numFmtId="0" fontId="19" fillId="0" borderId="0" xfId="0" applyFont="1" applyFill="1"/>
    <xf numFmtId="0" fontId="18" fillId="0" borderId="0" xfId="0" applyFont="1" applyFill="1" applyBorder="1" applyAlignment="1" applyProtection="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pplyProtection="1">
      <alignment horizontal="center" vertical="center"/>
      <protection locked="0"/>
    </xf>
    <xf numFmtId="0" fontId="16" fillId="0" borderId="0" xfId="0" applyFont="1"/>
    <xf numFmtId="4" fontId="4" fillId="0" borderId="4" xfId="0" applyNumberFormat="1" applyFont="1" applyFill="1" applyBorder="1" applyAlignment="1" applyProtection="1">
      <alignment horizontal="right" vertical="top"/>
    </xf>
    <xf numFmtId="4" fontId="7" fillId="0" borderId="4" xfId="0" applyNumberFormat="1" applyFont="1" applyFill="1" applyBorder="1" applyAlignment="1" applyProtection="1">
      <alignment horizontal="right" vertical="top"/>
    </xf>
    <xf numFmtId="4" fontId="21" fillId="0" borderId="4" xfId="0" applyNumberFormat="1" applyFont="1" applyFill="1" applyBorder="1" applyAlignment="1" applyProtection="1">
      <alignment horizontal="right" vertical="top"/>
    </xf>
    <xf numFmtId="0" fontId="22" fillId="0" borderId="0" xfId="0" applyFont="1"/>
    <xf numFmtId="4" fontId="4" fillId="0" borderId="9" xfId="0" applyNumberFormat="1" applyFont="1" applyFill="1" applyBorder="1" applyAlignment="1" applyProtection="1">
      <alignment horizontal="right" vertical="top"/>
    </xf>
    <xf numFmtId="4" fontId="23" fillId="0" borderId="4" xfId="0" applyNumberFormat="1" applyFont="1" applyFill="1" applyBorder="1" applyAlignment="1" applyProtection="1">
      <alignment horizontal="right" vertical="top"/>
    </xf>
    <xf numFmtId="4" fontId="26" fillId="0" borderId="4" xfId="0" applyNumberFormat="1" applyFont="1" applyFill="1" applyBorder="1" applyAlignment="1" applyProtection="1">
      <alignment horizontal="right" vertical="top"/>
    </xf>
    <xf numFmtId="0" fontId="14" fillId="0" borderId="0" xfId="2" applyFont="1" applyFill="1" applyBorder="1" applyAlignment="1">
      <alignment horizontal="center"/>
    </xf>
    <xf numFmtId="0" fontId="29" fillId="0" borderId="0" xfId="0" applyFont="1" applyFill="1"/>
    <xf numFmtId="4" fontId="4" fillId="0" borderId="13" xfId="0" applyNumberFormat="1" applyFont="1" applyFill="1" applyBorder="1" applyAlignment="1" applyProtection="1">
      <alignment horizontal="right" vertical="top"/>
    </xf>
    <xf numFmtId="165" fontId="4" fillId="0" borderId="21" xfId="0" applyNumberFormat="1" applyFont="1" applyFill="1" applyBorder="1" applyAlignment="1" applyProtection="1">
      <alignment horizontal="right" vertical="top"/>
    </xf>
    <xf numFmtId="165" fontId="21" fillId="0" borderId="21" xfId="0" applyNumberFormat="1" applyFont="1" applyFill="1" applyBorder="1" applyAlignment="1" applyProtection="1">
      <alignment horizontal="right" vertical="top"/>
    </xf>
    <xf numFmtId="165" fontId="26" fillId="0" borderId="21" xfId="0" applyNumberFormat="1" applyFont="1" applyFill="1" applyBorder="1" applyAlignment="1" applyProtection="1">
      <alignment horizontal="right" vertical="top"/>
    </xf>
    <xf numFmtId="165" fontId="7" fillId="0" borderId="21" xfId="0" applyNumberFormat="1" applyFont="1" applyFill="1" applyBorder="1" applyAlignment="1" applyProtection="1">
      <alignment horizontal="right" vertical="top"/>
    </xf>
    <xf numFmtId="165" fontId="4" fillId="0" borderId="23" xfId="0" applyNumberFormat="1" applyFont="1" applyFill="1" applyBorder="1" applyAlignment="1" applyProtection="1">
      <alignment horizontal="right" vertical="top"/>
    </xf>
    <xf numFmtId="165" fontId="4" fillId="0" borderId="25" xfId="0" applyNumberFormat="1" applyFont="1" applyFill="1" applyBorder="1" applyAlignment="1" applyProtection="1">
      <alignment horizontal="right" vertical="top"/>
    </xf>
    <xf numFmtId="165" fontId="23" fillId="0" borderId="21" xfId="0" applyNumberFormat="1" applyFont="1" applyFill="1" applyBorder="1" applyAlignment="1" applyProtection="1">
      <alignment horizontal="right" vertical="top"/>
    </xf>
    <xf numFmtId="0" fontId="5" fillId="0" borderId="26" xfId="0" applyFont="1" applyFill="1" applyBorder="1" applyAlignment="1">
      <alignment horizontal="left" vertical="top" wrapText="1"/>
    </xf>
    <xf numFmtId="0" fontId="8" fillId="0" borderId="10" xfId="0" applyFont="1" applyFill="1" applyBorder="1" applyAlignment="1">
      <alignment horizontal="left" vertical="top" wrapText="1"/>
    </xf>
    <xf numFmtId="49" fontId="10" fillId="0" borderId="27" xfId="0" applyNumberFormat="1" applyFont="1" applyFill="1" applyBorder="1" applyAlignment="1" applyProtection="1">
      <alignment horizontal="center" vertical="center" wrapText="1"/>
      <protection locked="0"/>
    </xf>
    <xf numFmtId="0" fontId="8" fillId="0" borderId="35" xfId="0" applyFont="1" applyFill="1" applyBorder="1" applyAlignment="1">
      <alignment horizontal="left" vertical="top" wrapText="1"/>
    </xf>
    <xf numFmtId="0" fontId="5" fillId="0" borderId="35" xfId="0" applyFont="1" applyFill="1" applyBorder="1" applyAlignment="1">
      <alignment horizontal="left" vertical="top" wrapText="1"/>
    </xf>
    <xf numFmtId="0" fontId="20" fillId="0" borderId="35" xfId="0" applyFont="1" applyFill="1" applyBorder="1" applyAlignment="1">
      <alignment horizontal="left" vertical="top" wrapText="1"/>
    </xf>
    <xf numFmtId="0" fontId="18" fillId="0" borderId="35" xfId="0" applyFont="1" applyFill="1" applyBorder="1" applyAlignment="1">
      <alignment horizontal="left" vertical="top" wrapText="1"/>
    </xf>
    <xf numFmtId="0" fontId="30" fillId="0" borderId="35" xfId="0" applyFont="1" applyFill="1" applyBorder="1" applyAlignment="1">
      <alignment horizontal="left" vertical="top" wrapText="1"/>
    </xf>
    <xf numFmtId="0" fontId="5" fillId="0" borderId="34" xfId="0" applyFont="1" applyFill="1" applyBorder="1" applyAlignment="1">
      <alignment horizontal="left" vertical="top" wrapText="1"/>
    </xf>
    <xf numFmtId="49" fontId="5" fillId="0" borderId="20" xfId="0" applyNumberFormat="1" applyFont="1" applyFill="1" applyBorder="1" applyAlignment="1">
      <alignment horizontal="center" vertical="top" wrapText="1"/>
    </xf>
    <xf numFmtId="49" fontId="20" fillId="0" borderId="20" xfId="0" applyNumberFormat="1" applyFont="1" applyFill="1" applyBorder="1" applyAlignment="1">
      <alignment horizontal="center" vertical="top" wrapText="1"/>
    </xf>
    <xf numFmtId="49" fontId="8" fillId="0" borderId="20" xfId="0" applyNumberFormat="1" applyFont="1" applyFill="1" applyBorder="1" applyAlignment="1">
      <alignment horizontal="center" vertical="top" wrapText="1"/>
    </xf>
    <xf numFmtId="49" fontId="18" fillId="0" borderId="20" xfId="0" applyNumberFormat="1" applyFont="1" applyFill="1" applyBorder="1" applyAlignment="1">
      <alignment horizontal="center" vertical="top" wrapText="1"/>
    </xf>
    <xf numFmtId="49" fontId="30" fillId="0" borderId="20" xfId="0" applyNumberFormat="1" applyFont="1" applyFill="1" applyBorder="1" applyAlignment="1">
      <alignment horizontal="center" vertical="top" wrapText="1"/>
    </xf>
    <xf numFmtId="49" fontId="17" fillId="0" borderId="20" xfId="0" applyNumberFormat="1" applyFont="1" applyFill="1" applyBorder="1" applyAlignment="1">
      <alignment horizontal="center" vertical="top" wrapText="1"/>
    </xf>
    <xf numFmtId="49" fontId="5" fillId="0" borderId="22" xfId="0" applyNumberFormat="1" applyFont="1" applyFill="1" applyBorder="1" applyAlignment="1">
      <alignment horizontal="center" vertical="top" wrapText="1"/>
    </xf>
    <xf numFmtId="49" fontId="5" fillId="0" borderId="24" xfId="0" applyNumberFormat="1" applyFont="1" applyFill="1" applyBorder="1" applyAlignment="1">
      <alignment horizontal="center" vertical="top" wrapText="1"/>
    </xf>
    <xf numFmtId="4" fontId="4" fillId="0" borderId="44" xfId="0" applyNumberFormat="1" applyFont="1" applyFill="1" applyBorder="1" applyAlignment="1" applyProtection="1">
      <alignment horizontal="right" vertical="top"/>
    </xf>
    <xf numFmtId="165" fontId="7" fillId="0" borderId="30" xfId="0" applyNumberFormat="1" applyFont="1" applyFill="1" applyBorder="1" applyAlignment="1" applyProtection="1">
      <alignment horizontal="right" vertical="top"/>
    </xf>
    <xf numFmtId="4" fontId="7" fillId="0" borderId="29" xfId="0" applyNumberFormat="1" applyFont="1" applyFill="1" applyBorder="1" applyAlignment="1" applyProtection="1">
      <alignment horizontal="right" vertical="top"/>
    </xf>
    <xf numFmtId="4" fontId="4" fillId="4" borderId="13" xfId="0" applyNumberFormat="1" applyFont="1" applyFill="1" applyBorder="1" applyAlignment="1" applyProtection="1">
      <alignment horizontal="right" vertical="top"/>
    </xf>
    <xf numFmtId="4" fontId="4" fillId="5" borderId="13" xfId="0" applyNumberFormat="1" applyFont="1" applyFill="1" applyBorder="1" applyAlignment="1" applyProtection="1">
      <alignment horizontal="right" vertical="top"/>
    </xf>
    <xf numFmtId="0" fontId="5" fillId="0" borderId="13" xfId="0" applyFont="1" applyFill="1" applyBorder="1" applyAlignment="1">
      <alignment horizontal="left" vertical="top" wrapText="1"/>
    </xf>
    <xf numFmtId="165" fontId="25" fillId="0" borderId="13" xfId="0" applyNumberFormat="1" applyFont="1" applyFill="1" applyBorder="1" applyAlignment="1" applyProtection="1">
      <alignment horizontal="right" vertical="top"/>
    </xf>
    <xf numFmtId="49" fontId="5" fillId="0" borderId="13" xfId="0" applyNumberFormat="1" applyFont="1" applyFill="1" applyBorder="1" applyAlignment="1">
      <alignment horizontal="center" vertical="top" wrapText="1"/>
    </xf>
    <xf numFmtId="0" fontId="35" fillId="7" borderId="48" xfId="0" applyFont="1" applyFill="1" applyBorder="1" applyAlignment="1">
      <alignment horizontal="left" vertical="center" wrapText="1"/>
    </xf>
    <xf numFmtId="4" fontId="25" fillId="0" borderId="13" xfId="0" applyNumberFormat="1" applyFont="1" applyFill="1" applyBorder="1" applyAlignment="1" applyProtection="1">
      <alignment horizontal="right" vertical="top"/>
    </xf>
    <xf numFmtId="0" fontId="8" fillId="0" borderId="13" xfId="0" applyFont="1" applyFill="1" applyBorder="1" applyAlignment="1">
      <alignment horizontal="left" vertical="top" wrapText="1"/>
    </xf>
    <xf numFmtId="4" fontId="23" fillId="4" borderId="13" xfId="0" applyNumberFormat="1" applyFont="1" applyFill="1" applyBorder="1" applyAlignment="1" applyProtection="1">
      <alignment horizontal="right" vertical="top"/>
    </xf>
    <xf numFmtId="165" fontId="23" fillId="0" borderId="13" xfId="0" applyNumberFormat="1" applyFont="1" applyFill="1" applyBorder="1" applyAlignment="1" applyProtection="1">
      <alignment horizontal="right" vertical="top"/>
    </xf>
    <xf numFmtId="4" fontId="23" fillId="0" borderId="13" xfId="0" applyNumberFormat="1" applyFont="1" applyFill="1" applyBorder="1" applyAlignment="1" applyProtection="1">
      <alignment horizontal="right" vertical="top"/>
    </xf>
    <xf numFmtId="49" fontId="17" fillId="0" borderId="13" xfId="0" applyNumberFormat="1" applyFont="1" applyFill="1" applyBorder="1" applyAlignment="1">
      <alignment horizontal="center" vertical="top" wrapText="1"/>
    </xf>
    <xf numFmtId="0" fontId="35" fillId="7" borderId="13" xfId="0" applyFont="1" applyFill="1" applyBorder="1" applyAlignment="1">
      <alignment horizontal="left" vertical="center" wrapText="1"/>
    </xf>
    <xf numFmtId="4" fontId="23" fillId="5" borderId="13" xfId="0" applyNumberFormat="1" applyFont="1" applyFill="1" applyBorder="1" applyAlignment="1" applyProtection="1">
      <alignment horizontal="right" vertical="top"/>
    </xf>
    <xf numFmtId="49" fontId="20" fillId="0" borderId="13" xfId="0" applyNumberFormat="1" applyFont="1" applyFill="1" applyBorder="1" applyAlignment="1">
      <alignment horizontal="center" vertical="top" wrapText="1"/>
    </xf>
    <xf numFmtId="4" fontId="26" fillId="4" borderId="13" xfId="0" applyNumberFormat="1" applyFont="1" applyFill="1" applyBorder="1" applyAlignment="1" applyProtection="1">
      <alignment horizontal="right" vertical="top"/>
    </xf>
    <xf numFmtId="165" fontId="26" fillId="0" borderId="13" xfId="0" applyNumberFormat="1" applyFont="1" applyFill="1" applyBorder="1" applyAlignment="1" applyProtection="1">
      <alignment horizontal="right" vertical="top"/>
    </xf>
    <xf numFmtId="4" fontId="26" fillId="5" borderId="13" xfId="0" applyNumberFormat="1" applyFont="1" applyFill="1" applyBorder="1" applyAlignment="1" applyProtection="1">
      <alignment horizontal="right" vertical="top"/>
    </xf>
    <xf numFmtId="4" fontId="26" fillId="0" borderId="13" xfId="0" applyNumberFormat="1" applyFont="1" applyFill="1" applyBorder="1" applyAlignment="1" applyProtection="1">
      <alignment horizontal="right" vertical="top"/>
    </xf>
    <xf numFmtId="4" fontId="25" fillId="4" borderId="13" xfId="0" applyNumberFormat="1" applyFont="1" applyFill="1" applyBorder="1" applyAlignment="1" applyProtection="1">
      <alignment horizontal="right" vertical="top"/>
    </xf>
    <xf numFmtId="165" fontId="4" fillId="0" borderId="13" xfId="0" applyNumberFormat="1" applyFont="1" applyFill="1" applyBorder="1" applyAlignment="1" applyProtection="1">
      <alignment horizontal="right" vertical="top"/>
    </xf>
    <xf numFmtId="0" fontId="18" fillId="0" borderId="13" xfId="0" applyFont="1" applyFill="1" applyBorder="1" applyAlignment="1">
      <alignment horizontal="left" vertical="top" wrapText="1"/>
    </xf>
    <xf numFmtId="49" fontId="18" fillId="0" borderId="13" xfId="0" applyNumberFormat="1" applyFont="1" applyFill="1" applyBorder="1" applyAlignment="1">
      <alignment horizontal="center" vertical="top" wrapText="1"/>
    </xf>
    <xf numFmtId="0" fontId="3" fillId="3" borderId="0" xfId="0" applyFont="1" applyFill="1" applyBorder="1"/>
    <xf numFmtId="0" fontId="4" fillId="3" borderId="0" xfId="0" applyFont="1" applyFill="1" applyBorder="1" applyAlignment="1" applyProtection="1">
      <alignment horizontal="center" vertical="center"/>
      <protection locked="0"/>
    </xf>
    <xf numFmtId="0" fontId="3" fillId="3" borderId="0" xfId="0" applyFont="1" applyFill="1"/>
    <xf numFmtId="0" fontId="4" fillId="3" borderId="0" xfId="0" applyFont="1" applyFill="1" applyBorder="1" applyAlignment="1">
      <alignment vertical="center"/>
    </xf>
    <xf numFmtId="165" fontId="4" fillId="6" borderId="5" xfId="0" applyNumberFormat="1" applyFont="1" applyFill="1" applyBorder="1" applyAlignment="1" applyProtection="1">
      <alignment horizontal="right" vertical="top"/>
    </xf>
    <xf numFmtId="165" fontId="26" fillId="6" borderId="2" xfId="0" applyNumberFormat="1" applyFont="1" applyFill="1" applyBorder="1" applyAlignment="1" applyProtection="1">
      <alignment horizontal="right" vertical="top"/>
    </xf>
    <xf numFmtId="165" fontId="4" fillId="6" borderId="2" xfId="0" applyNumberFormat="1" applyFont="1" applyFill="1" applyBorder="1" applyAlignment="1" applyProtection="1">
      <alignment horizontal="right" vertical="top"/>
    </xf>
    <xf numFmtId="4" fontId="4" fillId="8" borderId="4" xfId="0" applyNumberFormat="1" applyFont="1" applyFill="1" applyBorder="1" applyAlignment="1" applyProtection="1">
      <alignment horizontal="right" vertical="top"/>
    </xf>
    <xf numFmtId="4" fontId="21" fillId="8" borderId="4" xfId="0" applyNumberFormat="1" applyFont="1" applyFill="1" applyBorder="1" applyAlignment="1" applyProtection="1">
      <alignment horizontal="right" vertical="top"/>
    </xf>
    <xf numFmtId="4" fontId="7" fillId="8" borderId="3" xfId="0" applyNumberFormat="1" applyFont="1" applyFill="1" applyBorder="1" applyAlignment="1" applyProtection="1">
      <alignment horizontal="right" vertical="top"/>
    </xf>
    <xf numFmtId="4" fontId="7" fillId="8" borderId="4" xfId="0" applyNumberFormat="1" applyFont="1" applyFill="1" applyBorder="1" applyAlignment="1" applyProtection="1">
      <alignment horizontal="right" vertical="top"/>
    </xf>
    <xf numFmtId="4" fontId="26" fillId="8" borderId="4" xfId="0" applyNumberFormat="1" applyFont="1" applyFill="1" applyBorder="1" applyAlignment="1" applyProtection="1">
      <alignment horizontal="right" vertical="top"/>
    </xf>
    <xf numFmtId="4" fontId="23" fillId="8" borderId="4" xfId="0" applyNumberFormat="1" applyFont="1" applyFill="1" applyBorder="1" applyAlignment="1" applyProtection="1">
      <alignment horizontal="right" vertical="top"/>
    </xf>
    <xf numFmtId="4" fontId="4" fillId="8" borderId="9" xfId="0" applyNumberFormat="1" applyFont="1" applyFill="1" applyBorder="1" applyAlignment="1" applyProtection="1">
      <alignment horizontal="right" vertical="top"/>
    </xf>
    <xf numFmtId="4" fontId="7" fillId="8" borderId="47" xfId="0" applyNumberFormat="1" applyFont="1" applyFill="1" applyBorder="1" applyAlignment="1" applyProtection="1">
      <alignment horizontal="right" vertical="top"/>
    </xf>
    <xf numFmtId="4" fontId="4" fillId="8" borderId="13" xfId="0" applyNumberFormat="1" applyFont="1" applyFill="1" applyBorder="1" applyAlignment="1" applyProtection="1">
      <alignment horizontal="right" vertical="top"/>
    </xf>
    <xf numFmtId="4" fontId="23" fillId="8" borderId="13" xfId="0" applyNumberFormat="1" applyFont="1" applyFill="1" applyBorder="1" applyAlignment="1" applyProtection="1">
      <alignment horizontal="right" vertical="top"/>
    </xf>
    <xf numFmtId="4" fontId="25" fillId="8" borderId="13" xfId="0" applyNumberFormat="1" applyFont="1" applyFill="1" applyBorder="1" applyAlignment="1" applyProtection="1">
      <alignment horizontal="right" vertical="top"/>
    </xf>
    <xf numFmtId="4" fontId="4" fillId="8" borderId="44" xfId="0" applyNumberFormat="1" applyFont="1" applyFill="1" applyBorder="1" applyAlignment="1" applyProtection="1">
      <alignment horizontal="right" vertical="top"/>
    </xf>
    <xf numFmtId="165" fontId="7" fillId="6" borderId="2" xfId="0" applyNumberFormat="1" applyFont="1" applyFill="1" applyBorder="1" applyAlignment="1" applyProtection="1">
      <alignment horizontal="right" vertical="top"/>
    </xf>
    <xf numFmtId="4" fontId="25" fillId="8" borderId="27" xfId="0" applyNumberFormat="1" applyFont="1" applyFill="1" applyBorder="1" applyAlignment="1" applyProtection="1">
      <alignment horizontal="right" vertical="top"/>
    </xf>
    <xf numFmtId="4" fontId="4" fillId="0" borderId="27" xfId="0" applyNumberFormat="1" applyFont="1" applyFill="1" applyBorder="1" applyAlignment="1" applyProtection="1">
      <alignment horizontal="right" vertical="top"/>
    </xf>
    <xf numFmtId="165" fontId="4" fillId="0" borderId="27" xfId="0" applyNumberFormat="1" applyFont="1" applyFill="1" applyBorder="1" applyAlignment="1" applyProtection="1">
      <alignment horizontal="right" vertical="top"/>
    </xf>
    <xf numFmtId="166" fontId="34" fillId="2" borderId="57" xfId="0" applyNumberFormat="1" applyFont="1" applyFill="1" applyBorder="1" applyAlignment="1">
      <alignment horizontal="right" vertical="center" wrapText="1"/>
    </xf>
    <xf numFmtId="49" fontId="8" fillId="0" borderId="10" xfId="0" applyNumberFormat="1" applyFont="1" applyFill="1" applyBorder="1" applyAlignment="1">
      <alignment horizontal="center" vertical="top" wrapText="1"/>
    </xf>
    <xf numFmtId="0" fontId="35" fillId="7" borderId="27" xfId="0" applyFont="1" applyFill="1" applyBorder="1" applyAlignment="1">
      <alignment horizontal="left" vertical="center" wrapText="1"/>
    </xf>
    <xf numFmtId="49" fontId="5" fillId="0" borderId="27" xfId="0" applyNumberFormat="1" applyFont="1" applyFill="1" applyBorder="1" applyAlignment="1">
      <alignment horizontal="center" vertical="top" wrapText="1"/>
    </xf>
    <xf numFmtId="165" fontId="4" fillId="6" borderId="58" xfId="0" applyNumberFormat="1" applyFont="1" applyFill="1" applyBorder="1" applyAlignment="1" applyProtection="1">
      <alignment horizontal="right" vertical="top"/>
    </xf>
    <xf numFmtId="4" fontId="4" fillId="8" borderId="27" xfId="0" applyNumberFormat="1" applyFont="1" applyFill="1" applyBorder="1" applyAlignment="1" applyProtection="1">
      <alignment horizontal="right" vertical="top"/>
    </xf>
    <xf numFmtId="4" fontId="23" fillId="8" borderId="44" xfId="0" applyNumberFormat="1" applyFont="1" applyFill="1" applyBorder="1" applyAlignment="1" applyProtection="1">
      <alignment horizontal="right" vertical="top"/>
    </xf>
    <xf numFmtId="4" fontId="26" fillId="0" borderId="44" xfId="0" applyNumberFormat="1" applyFont="1" applyFill="1" applyBorder="1" applyAlignment="1" applyProtection="1">
      <alignment horizontal="right" vertical="top"/>
    </xf>
    <xf numFmtId="165" fontId="7" fillId="0" borderId="44" xfId="0" applyNumberFormat="1" applyFont="1" applyFill="1" applyBorder="1" applyAlignment="1" applyProtection="1">
      <alignment horizontal="right" vertical="top"/>
    </xf>
    <xf numFmtId="0" fontId="37" fillId="7" borderId="48" xfId="0" applyFont="1" applyFill="1" applyBorder="1" applyAlignment="1">
      <alignment horizontal="left" vertical="center" wrapText="1"/>
    </xf>
    <xf numFmtId="165" fontId="23" fillId="0" borderId="27" xfId="0" applyNumberFormat="1" applyFont="1" applyFill="1" applyBorder="1" applyAlignment="1" applyProtection="1">
      <alignment horizontal="right" vertical="top"/>
    </xf>
    <xf numFmtId="49" fontId="5" fillId="0" borderId="44" xfId="0" applyNumberFormat="1" applyFont="1" applyFill="1" applyBorder="1" applyAlignment="1">
      <alignment horizontal="center" vertical="top" wrapText="1"/>
    </xf>
    <xf numFmtId="4" fontId="4" fillId="4" borderId="44" xfId="0" applyNumberFormat="1" applyFont="1" applyFill="1" applyBorder="1" applyAlignment="1" applyProtection="1">
      <alignment horizontal="right" vertical="top"/>
    </xf>
    <xf numFmtId="165" fontId="25" fillId="0" borderId="44" xfId="0" applyNumberFormat="1" applyFont="1" applyFill="1" applyBorder="1" applyAlignment="1" applyProtection="1">
      <alignment horizontal="right" vertical="top"/>
    </xf>
    <xf numFmtId="4" fontId="25" fillId="0" borderId="44" xfId="0" applyNumberFormat="1" applyFont="1" applyFill="1" applyBorder="1" applyAlignment="1" applyProtection="1">
      <alignment horizontal="right" vertical="top"/>
    </xf>
    <xf numFmtId="4" fontId="23" fillId="5" borderId="32" xfId="0" applyNumberFormat="1" applyFont="1" applyFill="1" applyBorder="1" applyAlignment="1" applyProtection="1">
      <alignment horizontal="right" vertical="top"/>
    </xf>
    <xf numFmtId="0" fontId="5" fillId="0" borderId="27" xfId="0" applyFont="1" applyFill="1" applyBorder="1" applyAlignment="1">
      <alignment horizontal="left" vertical="top" wrapText="1"/>
    </xf>
    <xf numFmtId="4" fontId="4" fillId="4" borderId="27" xfId="0" applyNumberFormat="1" applyFont="1" applyFill="1" applyBorder="1" applyAlignment="1" applyProtection="1">
      <alignment horizontal="right" vertical="top"/>
    </xf>
    <xf numFmtId="165" fontId="25" fillId="0" borderId="27" xfId="0" applyNumberFormat="1" applyFont="1" applyFill="1" applyBorder="1" applyAlignment="1" applyProtection="1">
      <alignment horizontal="right" vertical="top"/>
    </xf>
    <xf numFmtId="4" fontId="4" fillId="5" borderId="27" xfId="0" applyNumberFormat="1" applyFont="1" applyFill="1" applyBorder="1" applyAlignment="1" applyProtection="1">
      <alignment horizontal="right" vertical="top"/>
    </xf>
    <xf numFmtId="4" fontId="25" fillId="0" borderId="27" xfId="0" applyNumberFormat="1" applyFont="1" applyFill="1" applyBorder="1" applyAlignment="1" applyProtection="1">
      <alignment horizontal="right" vertical="top"/>
    </xf>
    <xf numFmtId="0" fontId="0" fillId="0" borderId="0" xfId="0" applyFont="1"/>
    <xf numFmtId="0" fontId="40" fillId="0" borderId="0" xfId="0" applyFont="1"/>
    <xf numFmtId="0" fontId="17" fillId="0" borderId="35" xfId="0" applyFont="1" applyFill="1" applyBorder="1" applyAlignment="1">
      <alignment horizontal="left" vertical="top" wrapText="1"/>
    </xf>
    <xf numFmtId="49" fontId="5" fillId="0" borderId="62" xfId="0" applyNumberFormat="1" applyFont="1" applyFill="1" applyBorder="1" applyAlignment="1">
      <alignment horizontal="center" vertical="top" wrapText="1"/>
    </xf>
    <xf numFmtId="0" fontId="8" fillId="0" borderId="49" xfId="0" applyFont="1" applyFill="1" applyBorder="1" applyAlignment="1">
      <alignment horizontal="left" vertical="top" wrapText="1"/>
    </xf>
    <xf numFmtId="49" fontId="8" fillId="0" borderId="49" xfId="0" applyNumberFormat="1" applyFont="1" applyFill="1" applyBorder="1" applyAlignment="1">
      <alignment horizontal="center" vertical="top" wrapText="1"/>
    </xf>
    <xf numFmtId="4" fontId="7" fillId="0" borderId="63" xfId="0" applyNumberFormat="1" applyFont="1" applyFill="1" applyBorder="1" applyAlignment="1" applyProtection="1">
      <alignment horizontal="right" vertical="top"/>
    </xf>
    <xf numFmtId="165" fontId="7" fillId="0" borderId="64" xfId="0" applyNumberFormat="1" applyFont="1" applyFill="1" applyBorder="1" applyAlignment="1" applyProtection="1">
      <alignment horizontal="right" vertical="top"/>
    </xf>
    <xf numFmtId="4" fontId="25" fillId="8" borderId="44" xfId="0" applyNumberFormat="1" applyFont="1" applyFill="1" applyBorder="1" applyAlignment="1" applyProtection="1">
      <alignment horizontal="right" vertical="top"/>
    </xf>
    <xf numFmtId="165" fontId="4" fillId="0" borderId="44" xfId="0" applyNumberFormat="1" applyFont="1" applyFill="1" applyBorder="1" applyAlignment="1" applyProtection="1">
      <alignment horizontal="right" vertical="top"/>
    </xf>
    <xf numFmtId="4" fontId="25" fillId="5" borderId="13" xfId="0" applyNumberFormat="1" applyFont="1" applyFill="1" applyBorder="1" applyAlignment="1" applyProtection="1">
      <alignment horizontal="right" vertical="top"/>
    </xf>
    <xf numFmtId="0" fontId="0" fillId="3" borderId="0" xfId="0" applyFill="1"/>
    <xf numFmtId="4" fontId="21" fillId="8" borderId="2" xfId="0" applyNumberFormat="1" applyFont="1" applyFill="1" applyBorder="1" applyAlignment="1" applyProtection="1">
      <alignment horizontal="right" vertical="top"/>
    </xf>
    <xf numFmtId="4" fontId="4" fillId="8" borderId="2" xfId="0" applyNumberFormat="1" applyFont="1" applyFill="1" applyBorder="1" applyAlignment="1" applyProtection="1">
      <alignment horizontal="right" vertical="top"/>
    </xf>
    <xf numFmtId="4" fontId="7" fillId="8" borderId="2" xfId="0" applyNumberFormat="1" applyFont="1" applyFill="1" applyBorder="1" applyAlignment="1" applyProtection="1">
      <alignment horizontal="right" vertical="top"/>
    </xf>
    <xf numFmtId="4" fontId="21" fillId="0" borderId="3" xfId="0" applyNumberFormat="1" applyFont="1" applyFill="1" applyBorder="1" applyAlignment="1" applyProtection="1">
      <alignment horizontal="right" vertical="top"/>
    </xf>
    <xf numFmtId="4" fontId="4" fillId="0" borderId="3" xfId="0" applyNumberFormat="1" applyFont="1" applyFill="1" applyBorder="1" applyAlignment="1" applyProtection="1">
      <alignment horizontal="right" vertical="top"/>
    </xf>
    <xf numFmtId="4" fontId="7" fillId="0" borderId="3" xfId="0" applyNumberFormat="1" applyFont="1" applyFill="1" applyBorder="1" applyAlignment="1" applyProtection="1">
      <alignment horizontal="right" vertical="top"/>
    </xf>
    <xf numFmtId="4" fontId="23" fillId="8" borderId="2" xfId="0" applyNumberFormat="1" applyFont="1" applyFill="1" applyBorder="1" applyAlignment="1" applyProtection="1">
      <alignment horizontal="right" vertical="top"/>
    </xf>
    <xf numFmtId="4" fontId="23" fillId="0" borderId="3" xfId="0" applyNumberFormat="1" applyFont="1" applyFill="1" applyBorder="1" applyAlignment="1" applyProtection="1">
      <alignment horizontal="right" vertical="top"/>
    </xf>
    <xf numFmtId="49" fontId="18" fillId="0" borderId="3" xfId="0" applyNumberFormat="1" applyFont="1" applyFill="1" applyBorder="1" applyAlignment="1">
      <alignment horizontal="center" vertical="top" wrapText="1"/>
    </xf>
    <xf numFmtId="49" fontId="5" fillId="0" borderId="36" xfId="0" applyNumberFormat="1" applyFont="1" applyFill="1" applyBorder="1" applyAlignment="1">
      <alignment horizontal="center" vertical="top" wrapText="1"/>
    </xf>
    <xf numFmtId="4" fontId="7" fillId="8" borderId="67" xfId="0" applyNumberFormat="1" applyFont="1" applyFill="1" applyBorder="1" applyAlignment="1" applyProtection="1">
      <alignment horizontal="right" vertical="top"/>
    </xf>
    <xf numFmtId="4" fontId="7" fillId="0" borderId="13" xfId="0" applyNumberFormat="1" applyFont="1" applyFill="1" applyBorder="1" applyAlignment="1" applyProtection="1">
      <alignment horizontal="right" vertical="top"/>
    </xf>
    <xf numFmtId="165" fontId="7" fillId="0" borderId="13" xfId="0" applyNumberFormat="1" applyFont="1" applyFill="1" applyBorder="1" applyAlignment="1" applyProtection="1">
      <alignment horizontal="right" vertical="top"/>
    </xf>
    <xf numFmtId="166" fontId="33" fillId="6" borderId="13" xfId="0" applyNumberFormat="1" applyFont="1" applyFill="1" applyBorder="1" applyAlignment="1">
      <alignment horizontal="right" vertical="top" wrapText="1"/>
    </xf>
    <xf numFmtId="166" fontId="34" fillId="6" borderId="48" xfId="0" applyNumberFormat="1" applyFont="1" applyFill="1" applyBorder="1" applyAlignment="1">
      <alignment horizontal="right" vertical="top" wrapText="1"/>
    </xf>
    <xf numFmtId="166" fontId="33" fillId="6" borderId="48" xfId="0" applyNumberFormat="1" applyFont="1" applyFill="1" applyBorder="1" applyAlignment="1">
      <alignment horizontal="right" vertical="top" wrapText="1"/>
    </xf>
    <xf numFmtId="166" fontId="33" fillId="6" borderId="54" xfId="0" applyNumberFormat="1" applyFont="1" applyFill="1" applyBorder="1" applyAlignment="1">
      <alignment horizontal="right" vertical="top" wrapText="1"/>
    </xf>
    <xf numFmtId="166" fontId="33" fillId="6" borderId="55" xfId="0" applyNumberFormat="1" applyFont="1" applyFill="1" applyBorder="1" applyAlignment="1">
      <alignment horizontal="right" vertical="top" wrapText="1"/>
    </xf>
    <xf numFmtId="4" fontId="7" fillId="2" borderId="41" xfId="0" applyNumberFormat="1" applyFont="1" applyFill="1" applyBorder="1" applyAlignment="1" applyProtection="1">
      <alignment horizontal="right" vertical="center"/>
    </xf>
    <xf numFmtId="4" fontId="7" fillId="2" borderId="31" xfId="0" applyNumberFormat="1" applyFont="1" applyFill="1" applyBorder="1" applyAlignment="1" applyProtection="1">
      <alignment horizontal="right" vertical="center"/>
    </xf>
    <xf numFmtId="4" fontId="7" fillId="2" borderId="32" xfId="0" applyNumberFormat="1" applyFont="1" applyFill="1" applyBorder="1" applyAlignment="1" applyProtection="1">
      <alignment horizontal="right" vertical="center"/>
    </xf>
    <xf numFmtId="165" fontId="7" fillId="2" borderId="33" xfId="0" applyNumberFormat="1" applyFont="1" applyFill="1" applyBorder="1" applyAlignment="1" applyProtection="1">
      <alignment horizontal="right" vertical="center"/>
    </xf>
    <xf numFmtId="166" fontId="33" fillId="6" borderId="44" xfId="0" applyNumberFormat="1" applyFont="1" applyFill="1" applyBorder="1" applyAlignment="1">
      <alignment horizontal="right" vertical="top" wrapText="1"/>
    </xf>
    <xf numFmtId="166" fontId="34" fillId="6" borderId="13" xfId="0" applyNumberFormat="1" applyFont="1" applyFill="1" applyBorder="1" applyAlignment="1">
      <alignment horizontal="right" vertical="top" wrapText="1"/>
    </xf>
    <xf numFmtId="166" fontId="34" fillId="6" borderId="66" xfId="0" applyNumberFormat="1" applyFont="1" applyFill="1" applyBorder="1" applyAlignment="1">
      <alignment horizontal="right" vertical="top" wrapText="1"/>
    </xf>
    <xf numFmtId="166" fontId="36" fillId="6" borderId="48" xfId="0" applyNumberFormat="1" applyFont="1" applyFill="1" applyBorder="1" applyAlignment="1">
      <alignment horizontal="right" vertical="top" wrapText="1"/>
    </xf>
    <xf numFmtId="166" fontId="34" fillId="6" borderId="55" xfId="0" applyNumberFormat="1" applyFont="1" applyFill="1" applyBorder="1" applyAlignment="1">
      <alignment horizontal="right" vertical="top" wrapText="1"/>
    </xf>
    <xf numFmtId="4" fontId="26" fillId="8" borderId="13" xfId="0" applyNumberFormat="1" applyFont="1" applyFill="1" applyBorder="1" applyAlignment="1" applyProtection="1">
      <alignment horizontal="right" vertical="top"/>
    </xf>
    <xf numFmtId="4" fontId="26" fillId="8" borderId="2" xfId="0" applyNumberFormat="1" applyFont="1" applyFill="1" applyBorder="1" applyAlignment="1" applyProtection="1">
      <alignment horizontal="right" vertical="top"/>
    </xf>
    <xf numFmtId="4" fontId="4" fillId="8" borderId="5" xfId="0" applyNumberFormat="1" applyFont="1" applyFill="1" applyBorder="1" applyAlignment="1" applyProtection="1">
      <alignment horizontal="right" vertical="top"/>
    </xf>
    <xf numFmtId="4" fontId="4" fillId="0" borderId="6" xfId="0" applyNumberFormat="1" applyFont="1" applyFill="1" applyBorder="1" applyAlignment="1" applyProtection="1">
      <alignment horizontal="right" vertical="top"/>
    </xf>
    <xf numFmtId="166" fontId="34" fillId="6" borderId="53" xfId="0" applyNumberFormat="1" applyFont="1" applyFill="1" applyBorder="1" applyAlignment="1">
      <alignment horizontal="right" vertical="top" wrapText="1"/>
    </xf>
    <xf numFmtId="166" fontId="34" fillId="8" borderId="53" xfId="0" applyNumberFormat="1" applyFont="1" applyFill="1" applyBorder="1" applyAlignment="1">
      <alignment horizontal="right" vertical="top" wrapText="1"/>
    </xf>
    <xf numFmtId="166" fontId="33" fillId="6" borderId="61" xfId="0" applyNumberFormat="1" applyFont="1" applyFill="1" applyBorder="1" applyAlignment="1">
      <alignment horizontal="right" vertical="top" wrapText="1"/>
    </xf>
    <xf numFmtId="166" fontId="33" fillId="6" borderId="59" xfId="0" applyNumberFormat="1" applyFont="1" applyFill="1" applyBorder="1" applyAlignment="1">
      <alignment horizontal="right" vertical="top" wrapText="1"/>
    </xf>
    <xf numFmtId="166" fontId="33" fillId="6" borderId="27" xfId="0" applyNumberFormat="1" applyFont="1" applyFill="1" applyBorder="1" applyAlignment="1">
      <alignment horizontal="right" vertical="top" wrapText="1"/>
    </xf>
    <xf numFmtId="4" fontId="23" fillId="8" borderId="52" xfId="0" applyNumberFormat="1" applyFont="1" applyFill="1" applyBorder="1" applyAlignment="1" applyProtection="1">
      <alignment horizontal="right" vertical="top"/>
    </xf>
    <xf numFmtId="4" fontId="26" fillId="0" borderId="3" xfId="0" applyNumberFormat="1" applyFont="1" applyFill="1" applyBorder="1" applyAlignment="1" applyProtection="1">
      <alignment horizontal="right" vertical="top"/>
    </xf>
    <xf numFmtId="49" fontId="30" fillId="0" borderId="22" xfId="0" applyNumberFormat="1" applyFont="1" applyFill="1" applyBorder="1" applyAlignment="1">
      <alignment horizontal="center" vertical="top" wrapText="1"/>
    </xf>
    <xf numFmtId="165" fontId="26" fillId="6" borderId="5" xfId="0" applyNumberFormat="1" applyFont="1" applyFill="1" applyBorder="1" applyAlignment="1" applyProtection="1">
      <alignment horizontal="right" vertical="top"/>
    </xf>
    <xf numFmtId="4" fontId="23" fillId="8" borderId="6" xfId="0" applyNumberFormat="1" applyFont="1" applyFill="1" applyBorder="1" applyAlignment="1" applyProtection="1">
      <alignment horizontal="right" vertical="top"/>
    </xf>
    <xf numFmtId="4" fontId="23" fillId="0" borderId="9" xfId="0" applyNumberFormat="1" applyFont="1" applyFill="1" applyBorder="1" applyAlignment="1" applyProtection="1">
      <alignment horizontal="right" vertical="top"/>
    </xf>
    <xf numFmtId="165" fontId="23" fillId="0" borderId="23" xfId="0" applyNumberFormat="1" applyFont="1" applyFill="1" applyBorder="1" applyAlignment="1" applyProtection="1">
      <alignment horizontal="right" vertical="top"/>
    </xf>
    <xf numFmtId="49" fontId="30" fillId="0" borderId="13" xfId="0" applyNumberFormat="1" applyFont="1" applyFill="1" applyBorder="1" applyAlignment="1">
      <alignment horizontal="center" vertical="top" wrapText="1"/>
    </xf>
    <xf numFmtId="166" fontId="36" fillId="6" borderId="61" xfId="0" applyNumberFormat="1" applyFont="1" applyFill="1" applyBorder="1" applyAlignment="1">
      <alignment horizontal="right" vertical="top" wrapText="1"/>
    </xf>
    <xf numFmtId="166" fontId="36" fillId="6" borderId="13" xfId="0" applyNumberFormat="1" applyFont="1" applyFill="1" applyBorder="1" applyAlignment="1">
      <alignment horizontal="right" vertical="top" wrapText="1"/>
    </xf>
    <xf numFmtId="0" fontId="30" fillId="0" borderId="13" xfId="0" applyFont="1" applyFill="1" applyBorder="1" applyAlignment="1">
      <alignment horizontal="left" vertical="top" wrapText="1"/>
    </xf>
    <xf numFmtId="0" fontId="30" fillId="0" borderId="26" xfId="0" applyFont="1" applyFill="1" applyBorder="1" applyAlignment="1">
      <alignment horizontal="left" vertical="top" wrapText="1"/>
    </xf>
    <xf numFmtId="49" fontId="20" fillId="0" borderId="44" xfId="0" applyNumberFormat="1" applyFont="1" applyFill="1" applyBorder="1" applyAlignment="1">
      <alignment horizontal="center" vertical="top" wrapText="1"/>
    </xf>
    <xf numFmtId="4" fontId="26" fillId="4" borderId="44" xfId="0" applyNumberFormat="1" applyFont="1" applyFill="1" applyBorder="1" applyAlignment="1" applyProtection="1">
      <alignment horizontal="right" vertical="top"/>
    </xf>
    <xf numFmtId="165" fontId="26" fillId="0" borderId="44" xfId="0" applyNumberFormat="1" applyFont="1" applyFill="1" applyBorder="1" applyAlignment="1" applyProtection="1">
      <alignment horizontal="right" vertical="top"/>
    </xf>
    <xf numFmtId="4" fontId="26" fillId="5" borderId="44" xfId="0" applyNumberFormat="1" applyFont="1" applyFill="1" applyBorder="1" applyAlignment="1" applyProtection="1">
      <alignment horizontal="right" vertical="top"/>
    </xf>
    <xf numFmtId="165" fontId="23" fillId="0" borderId="44" xfId="0" applyNumberFormat="1" applyFont="1" applyFill="1" applyBorder="1" applyAlignment="1" applyProtection="1">
      <alignment horizontal="right" vertical="top"/>
    </xf>
    <xf numFmtId="0" fontId="8" fillId="10" borderId="31" xfId="0" applyFont="1" applyFill="1" applyBorder="1" applyAlignment="1">
      <alignment horizontal="left" vertical="top" wrapText="1"/>
    </xf>
    <xf numFmtId="49" fontId="8" fillId="10" borderId="32" xfId="0" applyNumberFormat="1" applyFont="1" applyFill="1" applyBorder="1" applyAlignment="1">
      <alignment horizontal="center" vertical="top" wrapText="1"/>
    </xf>
    <xf numFmtId="4" fontId="23" fillId="4" borderId="32" xfId="0" applyNumberFormat="1" applyFont="1" applyFill="1" applyBorder="1" applyAlignment="1" applyProtection="1">
      <alignment horizontal="right" vertical="top"/>
    </xf>
    <xf numFmtId="165" fontId="23" fillId="0" borderId="32" xfId="0" applyNumberFormat="1" applyFont="1" applyFill="1" applyBorder="1" applyAlignment="1" applyProtection="1">
      <alignment horizontal="right" vertical="top"/>
    </xf>
    <xf numFmtId="4" fontId="23" fillId="0" borderId="32" xfId="0" applyNumberFormat="1" applyFont="1" applyFill="1" applyBorder="1" applyAlignment="1" applyProtection="1">
      <alignment horizontal="right" vertical="top"/>
    </xf>
    <xf numFmtId="165" fontId="23" fillId="0" borderId="33" xfId="0" applyNumberFormat="1" applyFont="1" applyFill="1" applyBorder="1" applyAlignment="1" applyProtection="1">
      <alignment horizontal="right" vertical="top"/>
    </xf>
    <xf numFmtId="165" fontId="23" fillId="9" borderId="32" xfId="0" applyNumberFormat="1" applyFont="1" applyFill="1" applyBorder="1" applyAlignment="1" applyProtection="1">
      <alignment horizontal="right" vertical="center"/>
    </xf>
    <xf numFmtId="4" fontId="23" fillId="5" borderId="32" xfId="0" applyNumberFormat="1" applyFont="1" applyFill="1" applyBorder="1" applyAlignment="1" applyProtection="1">
      <alignment horizontal="right" vertical="center"/>
    </xf>
    <xf numFmtId="4" fontId="23" fillId="9" borderId="32" xfId="0" applyNumberFormat="1" applyFont="1" applyFill="1" applyBorder="1" applyAlignment="1" applyProtection="1">
      <alignment horizontal="right" vertical="center"/>
    </xf>
    <xf numFmtId="165" fontId="23" fillId="9" borderId="33" xfId="0" applyNumberFormat="1" applyFont="1" applyFill="1" applyBorder="1" applyAlignment="1" applyProtection="1">
      <alignment horizontal="right" vertical="center"/>
    </xf>
    <xf numFmtId="4" fontId="7" fillId="5" borderId="32" xfId="0" applyNumberFormat="1" applyFont="1" applyFill="1" applyBorder="1" applyAlignment="1" applyProtection="1">
      <alignment horizontal="right" vertical="top"/>
    </xf>
    <xf numFmtId="4" fontId="7" fillId="4" borderId="32" xfId="0" applyNumberFormat="1" applyFont="1" applyFill="1" applyBorder="1" applyAlignment="1" applyProtection="1">
      <alignment horizontal="right" vertical="center"/>
    </xf>
    <xf numFmtId="165" fontId="23" fillId="0" borderId="32" xfId="0" applyNumberFormat="1" applyFont="1" applyFill="1" applyBorder="1" applyAlignment="1" applyProtection="1">
      <alignment horizontal="right" vertical="center"/>
    </xf>
    <xf numFmtId="4" fontId="7" fillId="5" borderId="32" xfId="0" applyNumberFormat="1" applyFont="1" applyFill="1" applyBorder="1" applyAlignment="1" applyProtection="1">
      <alignment horizontal="right" vertical="center"/>
    </xf>
    <xf numFmtId="4" fontId="23" fillId="0" borderId="32" xfId="0" applyNumberFormat="1" applyFont="1" applyFill="1" applyBorder="1" applyAlignment="1" applyProtection="1">
      <alignment horizontal="right" vertical="center"/>
    </xf>
    <xf numFmtId="165" fontId="23" fillId="0" borderId="33" xfId="0" applyNumberFormat="1" applyFont="1" applyFill="1" applyBorder="1" applyAlignment="1" applyProtection="1">
      <alignment horizontal="right" vertical="center"/>
    </xf>
    <xf numFmtId="0" fontId="8" fillId="10" borderId="31" xfId="0" applyFont="1" applyFill="1" applyBorder="1" applyAlignment="1">
      <alignment horizontal="left" vertical="center" wrapText="1"/>
    </xf>
    <xf numFmtId="49" fontId="8" fillId="10" borderId="32" xfId="0" applyNumberFormat="1" applyFont="1" applyFill="1" applyBorder="1" applyAlignment="1">
      <alignment horizontal="center" vertical="center" wrapText="1"/>
    </xf>
    <xf numFmtId="4" fontId="23" fillId="4" borderId="32" xfId="0" applyNumberFormat="1" applyFont="1" applyFill="1" applyBorder="1" applyAlignment="1" applyProtection="1">
      <alignment horizontal="right" vertical="center"/>
    </xf>
    <xf numFmtId="49" fontId="8" fillId="0" borderId="32" xfId="0" applyNumberFormat="1" applyFont="1" applyFill="1" applyBorder="1" applyAlignment="1">
      <alignment horizontal="center" vertical="top" wrapText="1"/>
    </xf>
    <xf numFmtId="4" fontId="23" fillId="4" borderId="44" xfId="0" applyNumberFormat="1" applyFont="1" applyFill="1" applyBorder="1" applyAlignment="1" applyProtection="1">
      <alignment horizontal="right" vertical="top"/>
    </xf>
    <xf numFmtId="4" fontId="23" fillId="5" borderId="44" xfId="0" applyNumberFormat="1" applyFont="1" applyFill="1" applyBorder="1" applyAlignment="1" applyProtection="1">
      <alignment horizontal="right" vertical="top"/>
    </xf>
    <xf numFmtId="4" fontId="23" fillId="0" borderId="44" xfId="0" applyNumberFormat="1" applyFont="1" applyFill="1" applyBorder="1" applyAlignment="1" applyProtection="1">
      <alignment horizontal="right" vertical="top"/>
    </xf>
    <xf numFmtId="49" fontId="30" fillId="0" borderId="44" xfId="0" applyNumberFormat="1" applyFont="1" applyFill="1" applyBorder="1" applyAlignment="1">
      <alignment horizontal="center" vertical="top" wrapText="1"/>
    </xf>
    <xf numFmtId="4" fontId="21" fillId="4" borderId="13" xfId="0" applyNumberFormat="1" applyFont="1" applyFill="1" applyBorder="1" applyAlignment="1" applyProtection="1">
      <alignment horizontal="right" vertical="top"/>
    </xf>
    <xf numFmtId="4" fontId="21" fillId="5" borderId="13" xfId="0" applyNumberFormat="1" applyFont="1" applyFill="1" applyBorder="1" applyAlignment="1" applyProtection="1">
      <alignment horizontal="right" vertical="top"/>
    </xf>
    <xf numFmtId="49" fontId="5" fillId="0" borderId="68" xfId="0" applyNumberFormat="1" applyFont="1" applyFill="1" applyBorder="1" applyAlignment="1">
      <alignment horizontal="center" vertical="top" wrapText="1"/>
    </xf>
    <xf numFmtId="4" fontId="4" fillId="4" borderId="68" xfId="0" applyNumberFormat="1" applyFont="1" applyFill="1" applyBorder="1" applyAlignment="1" applyProtection="1">
      <alignment horizontal="right" vertical="top"/>
    </xf>
    <xf numFmtId="165" fontId="25" fillId="0" borderId="68" xfId="0" applyNumberFormat="1" applyFont="1" applyFill="1" applyBorder="1" applyAlignment="1" applyProtection="1">
      <alignment horizontal="right" vertical="top"/>
    </xf>
    <xf numFmtId="4" fontId="4" fillId="5" borderId="68" xfId="0" applyNumberFormat="1" applyFont="1" applyFill="1" applyBorder="1" applyAlignment="1" applyProtection="1">
      <alignment horizontal="right" vertical="top"/>
    </xf>
    <xf numFmtId="4" fontId="25" fillId="0" borderId="68" xfId="0" applyNumberFormat="1" applyFont="1" applyFill="1" applyBorder="1" applyAlignment="1" applyProtection="1">
      <alignment horizontal="right" vertical="top"/>
    </xf>
    <xf numFmtId="49" fontId="8" fillId="0" borderId="44" xfId="0" applyNumberFormat="1" applyFont="1" applyFill="1" applyBorder="1" applyAlignment="1">
      <alignment horizontal="center" vertical="top" wrapText="1"/>
    </xf>
    <xf numFmtId="0" fontId="8" fillId="9" borderId="31" xfId="0" applyFont="1" applyFill="1" applyBorder="1" applyAlignment="1">
      <alignment horizontal="left" vertical="center" wrapText="1"/>
    </xf>
    <xf numFmtId="49" fontId="8" fillId="9" borderId="32" xfId="0" applyNumberFormat="1" applyFont="1" applyFill="1" applyBorder="1" applyAlignment="1">
      <alignment horizontal="center" vertical="center" wrapText="1"/>
    </xf>
    <xf numFmtId="0" fontId="7" fillId="2" borderId="31" xfId="0" applyFont="1" applyFill="1" applyBorder="1" applyAlignment="1">
      <alignment horizontal="left" vertical="center" wrapText="1"/>
    </xf>
    <xf numFmtId="49" fontId="7" fillId="2" borderId="32" xfId="0" applyNumberFormat="1" applyFont="1" applyFill="1" applyBorder="1" applyAlignment="1">
      <alignment horizontal="center" vertical="center" wrapText="1"/>
    </xf>
    <xf numFmtId="165" fontId="23" fillId="2" borderId="32" xfId="0" applyNumberFormat="1" applyFont="1" applyFill="1" applyBorder="1" applyAlignment="1" applyProtection="1">
      <alignment horizontal="right" vertical="center"/>
    </xf>
    <xf numFmtId="4" fontId="23" fillId="2" borderId="32" xfId="0" applyNumberFormat="1" applyFont="1" applyFill="1" applyBorder="1" applyAlignment="1" applyProtection="1">
      <alignment horizontal="right" vertical="center"/>
    </xf>
    <xf numFmtId="165" fontId="26" fillId="0" borderId="27" xfId="0" applyNumberFormat="1" applyFont="1" applyFill="1" applyBorder="1" applyAlignment="1" applyProtection="1">
      <alignment horizontal="right" vertical="top"/>
    </xf>
    <xf numFmtId="4" fontId="26" fillId="5" borderId="27" xfId="0" applyNumberFormat="1" applyFont="1" applyFill="1" applyBorder="1" applyAlignment="1" applyProtection="1">
      <alignment horizontal="right" vertical="top"/>
    </xf>
    <xf numFmtId="4" fontId="26" fillId="0" borderId="27" xfId="0" applyNumberFormat="1" applyFont="1" applyFill="1" applyBorder="1" applyAlignment="1" applyProtection="1">
      <alignment horizontal="right" vertical="top"/>
    </xf>
    <xf numFmtId="49" fontId="18" fillId="0" borderId="27" xfId="0" applyNumberFormat="1" applyFont="1" applyFill="1" applyBorder="1" applyAlignment="1">
      <alignment horizontal="center" vertical="top" wrapText="1"/>
    </xf>
    <xf numFmtId="49" fontId="8" fillId="0" borderId="36" xfId="0" applyNumberFormat="1" applyFont="1" applyFill="1" applyBorder="1" applyAlignment="1">
      <alignment horizontal="center" vertical="top" wrapText="1"/>
    </xf>
    <xf numFmtId="49" fontId="30" fillId="0" borderId="36" xfId="0" applyNumberFormat="1" applyFont="1" applyFill="1" applyBorder="1" applyAlignment="1">
      <alignment horizontal="center" vertical="top" wrapText="1"/>
    </xf>
    <xf numFmtId="49" fontId="18" fillId="0" borderId="43" xfId="0" applyNumberFormat="1" applyFont="1" applyFill="1" applyBorder="1" applyAlignment="1">
      <alignment horizontal="center" vertical="top" wrapText="1"/>
    </xf>
    <xf numFmtId="49" fontId="8" fillId="0" borderId="3" xfId="0" applyNumberFormat="1" applyFont="1" applyFill="1" applyBorder="1" applyAlignment="1">
      <alignment horizontal="center" vertical="top" wrapText="1"/>
    </xf>
    <xf numFmtId="0" fontId="7" fillId="2" borderId="10" xfId="0" applyFont="1" applyFill="1" applyBorder="1" applyAlignment="1">
      <alignment horizontal="left" vertical="center" wrapText="1"/>
    </xf>
    <xf numFmtId="49" fontId="7" fillId="2" borderId="10" xfId="0" applyNumberFormat="1" applyFont="1" applyFill="1" applyBorder="1" applyAlignment="1">
      <alignment horizontal="center" vertical="center" wrapText="1"/>
    </xf>
    <xf numFmtId="49" fontId="7" fillId="2" borderId="31" xfId="0" applyNumberFormat="1" applyFont="1" applyFill="1" applyBorder="1" applyAlignment="1">
      <alignment horizontal="center" vertical="center" wrapText="1"/>
    </xf>
    <xf numFmtId="166" fontId="36" fillId="8" borderId="13" xfId="0" applyNumberFormat="1" applyFont="1" applyFill="1" applyBorder="1" applyAlignment="1">
      <alignment horizontal="right" vertical="top" wrapText="1"/>
    </xf>
    <xf numFmtId="0" fontId="42" fillId="7" borderId="48" xfId="0" applyFont="1" applyFill="1" applyBorder="1" applyAlignment="1">
      <alignment horizontal="left" vertical="center" wrapText="1"/>
    </xf>
    <xf numFmtId="0" fontId="43" fillId="10" borderId="31" xfId="0" applyFont="1" applyFill="1" applyBorder="1" applyAlignment="1">
      <alignment horizontal="left" vertical="top" wrapText="1"/>
    </xf>
    <xf numFmtId="0" fontId="22" fillId="3" borderId="0" xfId="0" applyFont="1" applyFill="1"/>
    <xf numFmtId="49" fontId="5" fillId="0" borderId="13" xfId="0" applyNumberFormat="1" applyFont="1" applyFill="1" applyBorder="1" applyAlignment="1">
      <alignment horizontal="center" vertical="center" wrapText="1"/>
    </xf>
    <xf numFmtId="4" fontId="4" fillId="4" borderId="13" xfId="0" applyNumberFormat="1" applyFont="1" applyFill="1" applyBorder="1" applyAlignment="1" applyProtection="1">
      <alignment horizontal="right" vertical="center"/>
    </xf>
    <xf numFmtId="165" fontId="25" fillId="0" borderId="13" xfId="0" applyNumberFormat="1" applyFont="1" applyFill="1" applyBorder="1" applyAlignment="1" applyProtection="1">
      <alignment horizontal="right" vertical="center"/>
    </xf>
    <xf numFmtId="4" fontId="4" fillId="5" borderId="13" xfId="0" applyNumberFormat="1" applyFont="1" applyFill="1" applyBorder="1" applyAlignment="1" applyProtection="1">
      <alignment horizontal="right" vertical="center"/>
    </xf>
    <xf numFmtId="4" fontId="25" fillId="0" borderId="13" xfId="0" applyNumberFormat="1" applyFont="1" applyFill="1" applyBorder="1" applyAlignment="1" applyProtection="1">
      <alignment horizontal="right" vertical="center"/>
    </xf>
    <xf numFmtId="0" fontId="0" fillId="0" borderId="0" xfId="0" applyAlignment="1">
      <alignment vertical="center"/>
    </xf>
    <xf numFmtId="165" fontId="23" fillId="2" borderId="71" xfId="0" applyNumberFormat="1" applyFont="1" applyFill="1" applyBorder="1" applyAlignment="1" applyProtection="1">
      <alignment horizontal="right" vertical="center"/>
    </xf>
    <xf numFmtId="0" fontId="16" fillId="0" borderId="0" xfId="0" applyFont="1" applyAlignment="1">
      <alignment vertical="center"/>
    </xf>
    <xf numFmtId="165" fontId="26" fillId="0" borderId="32" xfId="0" applyNumberFormat="1" applyFont="1" applyFill="1" applyBorder="1" applyAlignment="1" applyProtection="1">
      <alignment horizontal="right" vertical="top"/>
    </xf>
    <xf numFmtId="165" fontId="23" fillId="6" borderId="11" xfId="0" applyNumberFormat="1" applyFont="1" applyFill="1" applyBorder="1" applyAlignment="1" applyProtection="1">
      <alignment horizontal="right" vertical="top"/>
    </xf>
    <xf numFmtId="165" fontId="21" fillId="6" borderId="2" xfId="0" applyNumberFormat="1" applyFont="1" applyFill="1" applyBorder="1" applyAlignment="1" applyProtection="1">
      <alignment horizontal="right" vertical="top"/>
    </xf>
    <xf numFmtId="165" fontId="25" fillId="6" borderId="2" xfId="0" applyNumberFormat="1" applyFont="1" applyFill="1" applyBorder="1" applyAlignment="1" applyProtection="1">
      <alignment horizontal="right" vertical="top"/>
    </xf>
    <xf numFmtId="165" fontId="31" fillId="6" borderId="2" xfId="0" applyNumberFormat="1" applyFont="1" applyFill="1" applyBorder="1" applyAlignment="1" applyProtection="1">
      <alignment horizontal="right" vertical="top"/>
    </xf>
    <xf numFmtId="165" fontId="23" fillId="6" borderId="2" xfId="0" applyNumberFormat="1" applyFont="1" applyFill="1" applyBorder="1" applyAlignment="1" applyProtection="1">
      <alignment horizontal="right" vertical="top"/>
    </xf>
    <xf numFmtId="165" fontId="7" fillId="6" borderId="11" xfId="0" applyNumberFormat="1" applyFont="1" applyFill="1" applyBorder="1" applyAlignment="1" applyProtection="1">
      <alignment horizontal="right" vertical="top"/>
    </xf>
    <xf numFmtId="165" fontId="4" fillId="6" borderId="34" xfId="0" applyNumberFormat="1" applyFont="1" applyFill="1" applyBorder="1" applyAlignment="1" applyProtection="1">
      <alignment horizontal="right" vertical="top"/>
    </xf>
    <xf numFmtId="165" fontId="26" fillId="6" borderId="34" xfId="0" applyNumberFormat="1" applyFont="1" applyFill="1" applyBorder="1" applyAlignment="1" applyProtection="1">
      <alignment horizontal="right" vertical="top"/>
    </xf>
    <xf numFmtId="165" fontId="7" fillId="6" borderId="34" xfId="0" applyNumberFormat="1" applyFont="1" applyFill="1" applyBorder="1" applyAlignment="1" applyProtection="1">
      <alignment horizontal="right" vertical="top"/>
    </xf>
    <xf numFmtId="165" fontId="7" fillId="6" borderId="50" xfId="0" applyNumberFormat="1" applyFont="1" applyFill="1" applyBorder="1" applyAlignment="1" applyProtection="1">
      <alignment horizontal="right" vertical="top"/>
    </xf>
    <xf numFmtId="165" fontId="4" fillId="6" borderId="45" xfId="0" applyNumberFormat="1" applyFont="1" applyFill="1" applyBorder="1" applyAlignment="1" applyProtection="1">
      <alignment horizontal="right" vertical="top"/>
    </xf>
    <xf numFmtId="165" fontId="7" fillId="2" borderId="11" xfId="0" applyNumberFormat="1" applyFont="1" applyFill="1" applyBorder="1" applyAlignment="1" applyProtection="1">
      <alignment horizontal="right" vertical="center"/>
    </xf>
    <xf numFmtId="4" fontId="7" fillId="0" borderId="47" xfId="0" applyNumberFormat="1" applyFont="1" applyFill="1" applyBorder="1" applyAlignment="1" applyProtection="1">
      <alignment horizontal="right" vertical="top"/>
    </xf>
    <xf numFmtId="4" fontId="4" fillId="0" borderId="36" xfId="0" applyNumberFormat="1" applyFont="1" applyFill="1" applyBorder="1" applyAlignment="1" applyProtection="1">
      <alignment horizontal="right" vertical="top"/>
    </xf>
    <xf numFmtId="4" fontId="23" fillId="0" borderId="6" xfId="0" applyNumberFormat="1" applyFont="1" applyFill="1" applyBorder="1" applyAlignment="1" applyProtection="1">
      <alignment horizontal="right" vertical="top"/>
    </xf>
    <xf numFmtId="4" fontId="26" fillId="0" borderId="36" xfId="0" applyNumberFormat="1" applyFont="1" applyFill="1" applyBorder="1" applyAlignment="1" applyProtection="1">
      <alignment horizontal="right" vertical="top"/>
    </xf>
    <xf numFmtId="4" fontId="4" fillId="0" borderId="60" xfId="0" applyNumberFormat="1" applyFont="1" applyFill="1" applyBorder="1" applyAlignment="1" applyProtection="1">
      <alignment horizontal="right" vertical="top"/>
    </xf>
    <xf numFmtId="4" fontId="7" fillId="0" borderId="36" xfId="0" applyNumberFormat="1" applyFont="1" applyFill="1" applyBorder="1" applyAlignment="1" applyProtection="1">
      <alignment horizontal="right" vertical="top"/>
    </xf>
    <xf numFmtId="4" fontId="4" fillId="0" borderId="43" xfId="0" applyNumberFormat="1" applyFont="1" applyFill="1" applyBorder="1" applyAlignment="1" applyProtection="1">
      <alignment horizontal="right" vertical="top"/>
    </xf>
    <xf numFmtId="4" fontId="26" fillId="0" borderId="43" xfId="0" applyNumberFormat="1" applyFont="1" applyFill="1" applyBorder="1" applyAlignment="1" applyProtection="1">
      <alignment horizontal="right" vertical="top"/>
    </xf>
    <xf numFmtId="4" fontId="7" fillId="0" borderId="67" xfId="0" applyNumberFormat="1" applyFont="1" applyFill="1" applyBorder="1" applyAlignment="1" applyProtection="1">
      <alignment horizontal="right" vertical="top"/>
    </xf>
    <xf numFmtId="165" fontId="7" fillId="8" borderId="30" xfId="0" applyNumberFormat="1" applyFont="1" applyFill="1" applyBorder="1" applyAlignment="1" applyProtection="1">
      <alignment horizontal="right" vertical="top"/>
    </xf>
    <xf numFmtId="4" fontId="7" fillId="8" borderId="20" xfId="0" applyNumberFormat="1" applyFont="1" applyFill="1" applyBorder="1" applyAlignment="1" applyProtection="1">
      <alignment horizontal="right" vertical="top"/>
    </xf>
    <xf numFmtId="165" fontId="7" fillId="8" borderId="21" xfId="0" applyNumberFormat="1" applyFont="1" applyFill="1" applyBorder="1" applyAlignment="1" applyProtection="1">
      <alignment horizontal="right" vertical="top"/>
    </xf>
    <xf numFmtId="4" fontId="21" fillId="8" borderId="20" xfId="0" applyNumberFormat="1" applyFont="1" applyFill="1" applyBorder="1" applyAlignment="1" applyProtection="1">
      <alignment horizontal="right" vertical="top"/>
    </xf>
    <xf numFmtId="165" fontId="21" fillId="8" borderId="21" xfId="0" applyNumberFormat="1" applyFont="1" applyFill="1" applyBorder="1" applyAlignment="1" applyProtection="1">
      <alignment horizontal="right" vertical="top"/>
    </xf>
    <xf numFmtId="4" fontId="4" fillId="8" borderId="20" xfId="0" applyNumberFormat="1" applyFont="1" applyFill="1" applyBorder="1" applyAlignment="1" applyProtection="1">
      <alignment horizontal="right" vertical="top"/>
    </xf>
    <xf numFmtId="165" fontId="4" fillId="8" borderId="21" xfId="0" applyNumberFormat="1" applyFont="1" applyFill="1" applyBorder="1" applyAlignment="1" applyProtection="1">
      <alignment horizontal="right" vertical="top"/>
    </xf>
    <xf numFmtId="4" fontId="26" fillId="8" borderId="20" xfId="0" applyNumberFormat="1" applyFont="1" applyFill="1" applyBorder="1" applyAlignment="1" applyProtection="1">
      <alignment horizontal="right" vertical="top"/>
    </xf>
    <xf numFmtId="165" fontId="26" fillId="8" borderId="21" xfId="0" applyNumberFormat="1" applyFont="1" applyFill="1" applyBorder="1" applyAlignment="1" applyProtection="1">
      <alignment horizontal="right" vertical="top"/>
    </xf>
    <xf numFmtId="4" fontId="23" fillId="8" borderId="20" xfId="0" applyNumberFormat="1" applyFont="1" applyFill="1" applyBorder="1" applyAlignment="1" applyProtection="1">
      <alignment horizontal="right" vertical="top"/>
    </xf>
    <xf numFmtId="165" fontId="23" fillId="8" borderId="21" xfId="0" applyNumberFormat="1" applyFont="1" applyFill="1" applyBorder="1" applyAlignment="1" applyProtection="1">
      <alignment horizontal="right" vertical="top"/>
    </xf>
    <xf numFmtId="4" fontId="4" fillId="8" borderId="22" xfId="0" applyNumberFormat="1" applyFont="1" applyFill="1" applyBorder="1" applyAlignment="1" applyProtection="1">
      <alignment horizontal="right" vertical="top"/>
    </xf>
    <xf numFmtId="4" fontId="23" fillId="8" borderId="24" xfId="0" applyNumberFormat="1" applyFont="1" applyFill="1" applyBorder="1" applyAlignment="1" applyProtection="1">
      <alignment horizontal="right" vertical="top"/>
    </xf>
    <xf numFmtId="165" fontId="7" fillId="8" borderId="72" xfId="0" applyNumberFormat="1" applyFont="1" applyFill="1" applyBorder="1" applyAlignment="1" applyProtection="1">
      <alignment horizontal="right" vertical="top"/>
    </xf>
    <xf numFmtId="4" fontId="26" fillId="8" borderId="24" xfId="0" applyNumberFormat="1" applyFont="1" applyFill="1" applyBorder="1" applyAlignment="1" applyProtection="1">
      <alignment horizontal="right" vertical="top"/>
    </xf>
    <xf numFmtId="165" fontId="26" fillId="8" borderId="72" xfId="0" applyNumberFormat="1" applyFont="1" applyFill="1" applyBorder="1" applyAlignment="1" applyProtection="1">
      <alignment horizontal="right" vertical="top"/>
    </xf>
    <xf numFmtId="165" fontId="4" fillId="8" borderId="23" xfId="0" applyNumberFormat="1" applyFont="1" applyFill="1" applyBorder="1" applyAlignment="1" applyProtection="1">
      <alignment horizontal="right" vertical="top"/>
    </xf>
    <xf numFmtId="4" fontId="7" fillId="8" borderId="28" xfId="0" applyNumberFormat="1" applyFont="1" applyFill="1" applyBorder="1" applyAlignment="1" applyProtection="1">
      <alignment horizontal="right" vertical="top"/>
    </xf>
    <xf numFmtId="165" fontId="23" fillId="8" borderId="73" xfId="0" applyNumberFormat="1" applyFont="1" applyFill="1" applyBorder="1" applyAlignment="1" applyProtection="1">
      <alignment horizontal="right" vertical="top"/>
    </xf>
    <xf numFmtId="165" fontId="26" fillId="8" borderId="25" xfId="0" applyNumberFormat="1" applyFont="1" applyFill="1" applyBorder="1" applyAlignment="1" applyProtection="1">
      <alignment horizontal="right" vertical="top"/>
    </xf>
    <xf numFmtId="165" fontId="21" fillId="8" borderId="25" xfId="0" applyNumberFormat="1" applyFont="1" applyFill="1" applyBorder="1" applyAlignment="1" applyProtection="1">
      <alignment horizontal="right" vertical="top"/>
    </xf>
    <xf numFmtId="165" fontId="25" fillId="8" borderId="25" xfId="0" applyNumberFormat="1" applyFont="1" applyFill="1" applyBorder="1" applyAlignment="1" applyProtection="1">
      <alignment horizontal="right" vertical="top"/>
    </xf>
    <xf numFmtId="165" fontId="4" fillId="8" borderId="25" xfId="0" applyNumberFormat="1" applyFont="1" applyFill="1" applyBorder="1" applyAlignment="1" applyProtection="1">
      <alignment horizontal="right" vertical="top"/>
    </xf>
    <xf numFmtId="165" fontId="23" fillId="8" borderId="25" xfId="0" applyNumberFormat="1" applyFont="1" applyFill="1" applyBorder="1" applyAlignment="1" applyProtection="1">
      <alignment horizontal="right" vertical="top"/>
    </xf>
    <xf numFmtId="165" fontId="7" fillId="8" borderId="25" xfId="0" applyNumberFormat="1" applyFont="1" applyFill="1" applyBorder="1" applyAlignment="1" applyProtection="1">
      <alignment horizontal="right" vertical="top"/>
    </xf>
    <xf numFmtId="165" fontId="26" fillId="8" borderId="73" xfId="0" applyNumberFormat="1" applyFont="1" applyFill="1" applyBorder="1" applyAlignment="1" applyProtection="1">
      <alignment horizontal="right" vertical="top"/>
    </xf>
    <xf numFmtId="165" fontId="4" fillId="8" borderId="73" xfId="0" applyNumberFormat="1" applyFont="1" applyFill="1" applyBorder="1" applyAlignment="1" applyProtection="1">
      <alignment horizontal="right" vertical="top"/>
    </xf>
    <xf numFmtId="4" fontId="4" fillId="8" borderId="24" xfId="0" applyNumberFormat="1" applyFont="1" applyFill="1" applyBorder="1" applyAlignment="1" applyProtection="1">
      <alignment horizontal="right" vertical="top"/>
    </xf>
    <xf numFmtId="165" fontId="23" fillId="8" borderId="23" xfId="0" applyNumberFormat="1" applyFont="1" applyFill="1" applyBorder="1" applyAlignment="1" applyProtection="1">
      <alignment horizontal="right" vertical="top"/>
    </xf>
    <xf numFmtId="4" fontId="4" fillId="8" borderId="74" xfId="0" applyNumberFormat="1" applyFont="1" applyFill="1" applyBorder="1" applyAlignment="1" applyProtection="1">
      <alignment horizontal="right" vertical="top"/>
    </xf>
    <xf numFmtId="165" fontId="4" fillId="8" borderId="75" xfId="0" applyNumberFormat="1" applyFont="1" applyFill="1" applyBorder="1" applyAlignment="1" applyProtection="1">
      <alignment horizontal="right" vertical="top"/>
    </xf>
    <xf numFmtId="4" fontId="25" fillId="8" borderId="46" xfId="0" applyNumberFormat="1" applyFont="1" applyFill="1" applyBorder="1" applyAlignment="1" applyProtection="1">
      <alignment horizontal="right" vertical="top"/>
    </xf>
    <xf numFmtId="4" fontId="23" fillId="8" borderId="46" xfId="0" applyNumberFormat="1" applyFont="1" applyFill="1" applyBorder="1" applyAlignment="1" applyProtection="1">
      <alignment horizontal="right" vertical="top"/>
    </xf>
    <xf numFmtId="4" fontId="7" fillId="8" borderId="38" xfId="0" applyNumberFormat="1" applyFont="1" applyFill="1" applyBorder="1" applyAlignment="1" applyProtection="1">
      <alignment horizontal="right" vertical="top"/>
    </xf>
    <xf numFmtId="165" fontId="7" fillId="8" borderId="64" xfId="0" applyNumberFormat="1" applyFont="1" applyFill="1" applyBorder="1" applyAlignment="1" applyProtection="1">
      <alignment horizontal="right" vertical="top"/>
    </xf>
    <xf numFmtId="166" fontId="36" fillId="8" borderId="24" xfId="0" applyNumberFormat="1" applyFont="1" applyFill="1" applyBorder="1" applyAlignment="1">
      <alignment horizontal="right" vertical="top" wrapText="1"/>
    </xf>
    <xf numFmtId="4" fontId="4" fillId="8" borderId="46" xfId="0" applyNumberFormat="1" applyFont="1" applyFill="1" applyBorder="1" applyAlignment="1" applyProtection="1">
      <alignment horizontal="right" vertical="top"/>
    </xf>
    <xf numFmtId="166" fontId="36" fillId="6" borderId="54" xfId="0" applyNumberFormat="1" applyFont="1" applyFill="1" applyBorder="1" applyAlignment="1">
      <alignment horizontal="right" vertical="top" wrapText="1"/>
    </xf>
    <xf numFmtId="4" fontId="26" fillId="8" borderId="74" xfId="0" applyNumberFormat="1" applyFont="1" applyFill="1" applyBorder="1" applyAlignment="1" applyProtection="1">
      <alignment horizontal="right" vertical="top"/>
    </xf>
    <xf numFmtId="165" fontId="4" fillId="6" borderId="13" xfId="0" applyNumberFormat="1" applyFont="1" applyFill="1" applyBorder="1" applyAlignment="1" applyProtection="1">
      <alignment horizontal="right" vertical="top"/>
    </xf>
    <xf numFmtId="166" fontId="33" fillId="6" borderId="76" xfId="0" applyNumberFormat="1" applyFont="1" applyFill="1" applyBorder="1" applyAlignment="1">
      <alignment horizontal="right" vertical="top" wrapText="1"/>
    </xf>
    <xf numFmtId="0" fontId="6" fillId="2" borderId="69" xfId="0" applyFont="1" applyFill="1" applyBorder="1" applyAlignment="1">
      <alignment horizontal="left" vertical="center" wrapText="1"/>
    </xf>
    <xf numFmtId="49" fontId="7" fillId="2" borderId="69" xfId="0" applyNumberFormat="1" applyFont="1" applyFill="1" applyBorder="1" applyAlignment="1">
      <alignment horizontal="center" vertical="center" wrapText="1"/>
    </xf>
    <xf numFmtId="165" fontId="4" fillId="6" borderId="27" xfId="0" applyNumberFormat="1" applyFont="1" applyFill="1" applyBorder="1" applyAlignment="1" applyProtection="1">
      <alignment horizontal="right" vertical="top"/>
    </xf>
    <xf numFmtId="166" fontId="34" fillId="2" borderId="56" xfId="0" applyNumberFormat="1" applyFont="1" applyFill="1" applyBorder="1" applyAlignment="1">
      <alignment horizontal="right" vertical="center" wrapText="1"/>
    </xf>
    <xf numFmtId="165" fontId="7" fillId="2" borderId="42" xfId="0" applyNumberFormat="1" applyFont="1" applyFill="1" applyBorder="1" applyAlignment="1" applyProtection="1">
      <alignment horizontal="right" vertical="center"/>
    </xf>
    <xf numFmtId="166" fontId="34" fillId="2" borderId="10" xfId="0" applyNumberFormat="1" applyFont="1" applyFill="1" applyBorder="1" applyAlignment="1">
      <alignment horizontal="right" vertical="center" wrapText="1"/>
    </xf>
    <xf numFmtId="166" fontId="34" fillId="2" borderId="31" xfId="0" applyNumberFormat="1" applyFont="1" applyFill="1" applyBorder="1" applyAlignment="1">
      <alignment horizontal="right" vertical="center" wrapText="1"/>
    </xf>
    <xf numFmtId="165" fontId="26" fillId="8" borderId="13" xfId="0" applyNumberFormat="1" applyFont="1" applyFill="1" applyBorder="1" applyAlignment="1" applyProtection="1">
      <alignment horizontal="right" vertical="top"/>
    </xf>
    <xf numFmtId="4" fontId="7" fillId="4" borderId="41" xfId="0" applyNumberFormat="1" applyFont="1" applyFill="1" applyBorder="1" applyAlignment="1" applyProtection="1">
      <alignment horizontal="right" vertical="center"/>
    </xf>
    <xf numFmtId="49" fontId="17" fillId="10" borderId="33" xfId="0" applyNumberFormat="1" applyFont="1" applyFill="1" applyBorder="1" applyAlignment="1">
      <alignment horizontal="center" vertical="center" wrapText="1"/>
    </xf>
    <xf numFmtId="0" fontId="28" fillId="0" borderId="0" xfId="2" applyFont="1" applyFill="1" applyAlignment="1">
      <alignment horizontal="left" vertical="center" wrapText="1"/>
    </xf>
    <xf numFmtId="4" fontId="25" fillId="4" borderId="27" xfId="0" applyNumberFormat="1" applyFont="1" applyFill="1" applyBorder="1" applyAlignment="1" applyProtection="1">
      <alignment horizontal="right" vertical="top"/>
    </xf>
    <xf numFmtId="49" fontId="5" fillId="0" borderId="44" xfId="0" applyNumberFormat="1" applyFont="1" applyFill="1" applyBorder="1" applyAlignment="1">
      <alignment horizontal="center" vertical="center" wrapText="1"/>
    </xf>
    <xf numFmtId="4" fontId="4" fillId="4" borderId="44" xfId="0" applyNumberFormat="1" applyFont="1" applyFill="1" applyBorder="1" applyAlignment="1" applyProtection="1">
      <alignment horizontal="right" vertical="center"/>
    </xf>
    <xf numFmtId="165" fontId="25" fillId="0" borderId="44" xfId="0" applyNumberFormat="1" applyFont="1" applyFill="1" applyBorder="1" applyAlignment="1" applyProtection="1">
      <alignment horizontal="right" vertical="center"/>
    </xf>
    <xf numFmtId="4" fontId="4" fillId="5" borderId="44" xfId="0" applyNumberFormat="1" applyFont="1" applyFill="1" applyBorder="1" applyAlignment="1" applyProtection="1">
      <alignment horizontal="right" vertical="center"/>
    </xf>
    <xf numFmtId="4" fontId="25" fillId="0" borderId="44" xfId="0" applyNumberFormat="1" applyFont="1" applyFill="1" applyBorder="1" applyAlignment="1" applyProtection="1">
      <alignment horizontal="right" vertical="center"/>
    </xf>
    <xf numFmtId="0" fontId="30" fillId="0" borderId="31" xfId="0" applyFont="1" applyFill="1" applyBorder="1" applyAlignment="1">
      <alignment horizontal="left" vertical="top" wrapText="1"/>
    </xf>
    <xf numFmtId="49" fontId="30" fillId="0" borderId="32" xfId="0" applyNumberFormat="1" applyFont="1" applyFill="1" applyBorder="1" applyAlignment="1">
      <alignment horizontal="center" vertical="top" wrapText="1"/>
    </xf>
    <xf numFmtId="4" fontId="26" fillId="4" borderId="32" xfId="0" applyNumberFormat="1" applyFont="1" applyFill="1" applyBorder="1" applyAlignment="1" applyProtection="1">
      <alignment horizontal="right" vertical="top"/>
    </xf>
    <xf numFmtId="4" fontId="26" fillId="5" borderId="32" xfId="0" applyNumberFormat="1" applyFont="1" applyFill="1" applyBorder="1" applyAlignment="1" applyProtection="1">
      <alignment horizontal="right" vertical="top"/>
    </xf>
    <xf numFmtId="4" fontId="26" fillId="0" borderId="32" xfId="0" applyNumberFormat="1" applyFont="1" applyFill="1" applyBorder="1" applyAlignment="1" applyProtection="1">
      <alignment horizontal="right" vertical="top"/>
    </xf>
    <xf numFmtId="165" fontId="26" fillId="0" borderId="33" xfId="0" applyNumberFormat="1" applyFont="1" applyFill="1" applyBorder="1" applyAlignment="1" applyProtection="1">
      <alignment horizontal="right" vertical="top"/>
    </xf>
    <xf numFmtId="4" fontId="23" fillId="5" borderId="42" xfId="0" applyNumberFormat="1" applyFont="1" applyFill="1" applyBorder="1" applyAlignment="1" applyProtection="1">
      <alignment horizontal="right" vertical="top"/>
    </xf>
    <xf numFmtId="4" fontId="23" fillId="0" borderId="41" xfId="0" applyNumberFormat="1" applyFont="1" applyFill="1" applyBorder="1" applyAlignment="1" applyProtection="1">
      <alignment horizontal="right" vertical="top"/>
    </xf>
    <xf numFmtId="165" fontId="23" fillId="0" borderId="53" xfId="0" applyNumberFormat="1" applyFont="1" applyFill="1" applyBorder="1" applyAlignment="1" applyProtection="1">
      <alignment horizontal="right" vertical="top"/>
    </xf>
    <xf numFmtId="166" fontId="34" fillId="6" borderId="77" xfId="0" applyNumberFormat="1" applyFont="1" applyFill="1" applyBorder="1" applyAlignment="1">
      <alignment horizontal="right" vertical="top" wrapText="1"/>
    </xf>
    <xf numFmtId="165" fontId="23" fillId="6" borderId="13" xfId="0" applyNumberFormat="1" applyFont="1" applyFill="1" applyBorder="1" applyAlignment="1" applyProtection="1">
      <alignment horizontal="right" vertical="top"/>
    </xf>
    <xf numFmtId="165" fontId="4" fillId="8" borderId="13" xfId="0" applyNumberFormat="1" applyFont="1" applyFill="1" applyBorder="1" applyAlignment="1" applyProtection="1">
      <alignment horizontal="right" vertical="top"/>
    </xf>
    <xf numFmtId="4" fontId="21" fillId="4" borderId="27" xfId="0" applyNumberFormat="1" applyFont="1" applyFill="1" applyBorder="1" applyAlignment="1" applyProtection="1">
      <alignment horizontal="right" vertical="top"/>
    </xf>
    <xf numFmtId="4" fontId="21" fillId="5" borderId="27" xfId="0" applyNumberFormat="1" applyFont="1" applyFill="1" applyBorder="1" applyAlignment="1" applyProtection="1">
      <alignment horizontal="right" vertical="top"/>
    </xf>
    <xf numFmtId="4" fontId="26" fillId="4" borderId="27" xfId="0" applyNumberFormat="1" applyFont="1" applyFill="1" applyBorder="1" applyAlignment="1" applyProtection="1">
      <alignment horizontal="right" vertical="top"/>
    </xf>
    <xf numFmtId="0" fontId="45" fillId="10" borderId="78" xfId="0" applyFont="1" applyFill="1" applyBorder="1" applyAlignment="1">
      <alignment horizontal="left" vertical="center" wrapText="1"/>
    </xf>
    <xf numFmtId="0" fontId="25" fillId="0" borderId="0" xfId="0" applyFont="1" applyFill="1" applyAlignment="1">
      <alignment vertical="center" wrapText="1"/>
    </xf>
    <xf numFmtId="0" fontId="18" fillId="0" borderId="0" xfId="0" applyFont="1"/>
    <xf numFmtId="0" fontId="25" fillId="0" borderId="0" xfId="0" applyFont="1" applyFill="1" applyAlignment="1">
      <alignment horizontal="right" vertical="center" wrapText="1"/>
    </xf>
    <xf numFmtId="0" fontId="18" fillId="0" borderId="13" xfId="0" applyFont="1" applyFill="1" applyBorder="1" applyAlignment="1">
      <alignment horizontal="center" vertical="center" wrapText="1"/>
    </xf>
    <xf numFmtId="0" fontId="25" fillId="0" borderId="13" xfId="0" applyFont="1" applyFill="1" applyBorder="1" applyAlignment="1">
      <alignment horizontal="center" vertical="center" wrapText="1"/>
    </xf>
    <xf numFmtId="1" fontId="25" fillId="0" borderId="13" xfId="0" applyNumberFormat="1" applyFont="1" applyFill="1" applyBorder="1" applyAlignment="1">
      <alignment horizontal="center" vertical="center" wrapText="1"/>
    </xf>
    <xf numFmtId="0" fontId="49" fillId="0" borderId="13" xfId="6" applyFont="1" applyBorder="1" applyAlignment="1">
      <alignment horizontal="center" vertical="center"/>
    </xf>
    <xf numFmtId="1" fontId="23" fillId="0" borderId="13" xfId="0" applyNumberFormat="1" applyFont="1" applyFill="1" applyBorder="1" applyAlignment="1">
      <alignment horizontal="center" vertical="center" wrapText="1"/>
    </xf>
    <xf numFmtId="4" fontId="25" fillId="0" borderId="13" xfId="0" applyNumberFormat="1" applyFont="1" applyFill="1" applyBorder="1" applyAlignment="1">
      <alignment horizontal="right" vertical="center" wrapText="1"/>
    </xf>
    <xf numFmtId="4" fontId="23" fillId="0" borderId="13" xfId="0" applyNumberFormat="1" applyFont="1" applyFill="1" applyBorder="1" applyAlignment="1">
      <alignment horizontal="right" vertical="center" wrapText="1"/>
    </xf>
    <xf numFmtId="0" fontId="49" fillId="0" borderId="13" xfId="7" applyFont="1" applyBorder="1" applyAlignment="1">
      <alignment horizontal="center" vertical="center"/>
    </xf>
    <xf numFmtId="0" fontId="49" fillId="0" borderId="13" xfId="8" applyFont="1" applyBorder="1" applyAlignment="1">
      <alignment horizontal="center" vertical="center"/>
    </xf>
    <xf numFmtId="0" fontId="49" fillId="0" borderId="13" xfId="0" applyFont="1" applyBorder="1" applyAlignment="1">
      <alignment horizontal="center" vertical="center"/>
    </xf>
    <xf numFmtId="2" fontId="23" fillId="0" borderId="13" xfId="0" applyNumberFormat="1" applyFont="1" applyFill="1" applyBorder="1" applyAlignment="1">
      <alignment horizontal="left" vertical="center" wrapText="1"/>
    </xf>
    <xf numFmtId="2" fontId="2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left" vertical="center" wrapText="1"/>
    </xf>
    <xf numFmtId="0" fontId="23" fillId="0" borderId="0" xfId="0" applyFont="1" applyFill="1" applyBorder="1" applyAlignment="1">
      <alignment vertical="center" wrapText="1"/>
    </xf>
    <xf numFmtId="0" fontId="50" fillId="0" borderId="13" xfId="0" applyFont="1" applyFill="1" applyBorder="1" applyAlignment="1">
      <alignment horizontal="center" vertical="center" wrapText="1"/>
    </xf>
    <xf numFmtId="0" fontId="25" fillId="0" borderId="34" xfId="0" applyFont="1" applyFill="1" applyBorder="1" applyAlignment="1">
      <alignment horizontal="center" vertical="center" wrapText="1"/>
    </xf>
    <xf numFmtId="1" fontId="25" fillId="0" borderId="34" xfId="0" applyNumberFormat="1" applyFont="1" applyFill="1" applyBorder="1" applyAlignment="1">
      <alignment horizontal="center" vertical="center" wrapText="1"/>
    </xf>
    <xf numFmtId="1" fontId="26" fillId="0" borderId="13" xfId="0" applyNumberFormat="1" applyFont="1" applyFill="1" applyBorder="1" applyAlignment="1">
      <alignment horizontal="center" vertical="center" wrapText="1"/>
    </xf>
    <xf numFmtId="1" fontId="31" fillId="0" borderId="13" xfId="0" applyNumberFormat="1" applyFont="1" applyFill="1" applyBorder="1" applyAlignment="1">
      <alignment horizontal="left" vertical="center" wrapText="1"/>
    </xf>
    <xf numFmtId="0" fontId="51" fillId="0" borderId="13" xfId="0" applyFont="1" applyBorder="1" applyAlignment="1">
      <alignment horizontal="justify"/>
    </xf>
    <xf numFmtId="4" fontId="53" fillId="0" borderId="13" xfId="9" quotePrefix="1" applyNumberFormat="1" applyFont="1" applyBorder="1" applyAlignment="1">
      <alignment vertical="center" wrapText="1"/>
    </xf>
    <xf numFmtId="4" fontId="54" fillId="0" borderId="13" xfId="9" quotePrefix="1" applyNumberFormat="1" applyFont="1" applyBorder="1" applyAlignment="1">
      <alignment vertical="center" wrapText="1"/>
    </xf>
    <xf numFmtId="4" fontId="54" fillId="0" borderId="13" xfId="9" applyNumberFormat="1" applyFont="1" applyBorder="1" applyAlignment="1">
      <alignment vertical="center" wrapText="1"/>
    </xf>
    <xf numFmtId="4" fontId="53" fillId="0" borderId="13" xfId="11" quotePrefix="1" applyNumberFormat="1" applyFont="1" applyBorder="1" applyAlignment="1">
      <alignment horizontal="center" vertical="center" wrapText="1"/>
    </xf>
    <xf numFmtId="4" fontId="23" fillId="0" borderId="13" xfId="5" applyNumberFormat="1" applyFont="1" applyFill="1" applyBorder="1" applyAlignment="1">
      <alignment horizontal="right" vertical="center" wrapText="1"/>
    </xf>
    <xf numFmtId="4" fontId="54" fillId="0" borderId="13" xfId="11" applyNumberFormat="1" applyFont="1" applyBorder="1" applyAlignment="1">
      <alignment horizontal="left" vertical="center" wrapText="1"/>
    </xf>
    <xf numFmtId="4" fontId="25" fillId="0" borderId="13" xfId="5" applyNumberFormat="1" applyFont="1" applyFill="1" applyBorder="1" applyAlignment="1">
      <alignment horizontal="right" vertical="center" wrapText="1"/>
    </xf>
    <xf numFmtId="4" fontId="49" fillId="0" borderId="13" xfId="11" applyNumberFormat="1" applyFont="1" applyBorder="1" applyAlignment="1">
      <alignment horizontal="center" vertical="center" wrapText="1"/>
    </xf>
    <xf numFmtId="4" fontId="53" fillId="0" borderId="13" xfId="11" applyNumberFormat="1" applyFont="1" applyBorder="1" applyAlignment="1">
      <alignment horizontal="center" vertical="center" wrapText="1"/>
    </xf>
    <xf numFmtId="4" fontId="54" fillId="0" borderId="13" xfId="11" applyNumberFormat="1" applyFont="1" applyBorder="1" applyAlignment="1">
      <alignment horizontal="center" vertical="center" wrapText="1"/>
    </xf>
    <xf numFmtId="4" fontId="31" fillId="0" borderId="13" xfId="5" applyNumberFormat="1" applyFont="1" applyFill="1" applyBorder="1" applyAlignment="1">
      <alignment horizontal="right" vertical="center" wrapText="1"/>
    </xf>
    <xf numFmtId="0" fontId="49" fillId="0" borderId="13" xfId="12" quotePrefix="1" applyFont="1" applyBorder="1" applyAlignment="1">
      <alignment horizontal="center" vertical="center" wrapText="1"/>
    </xf>
    <xf numFmtId="4" fontId="49" fillId="0" borderId="13" xfId="12" quotePrefix="1" applyNumberFormat="1" applyFont="1" applyBorder="1" applyAlignment="1">
      <alignment horizontal="center" vertical="center" wrapText="1"/>
    </xf>
    <xf numFmtId="4" fontId="25" fillId="0" borderId="13" xfId="0" applyNumberFormat="1" applyFont="1" applyBorder="1"/>
    <xf numFmtId="49" fontId="23" fillId="0" borderId="13" xfId="0" applyNumberFormat="1"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49" fontId="23" fillId="0" borderId="0" xfId="0" applyNumberFormat="1" applyFont="1" applyFill="1" applyBorder="1" applyAlignment="1">
      <alignment horizontal="center" vertical="center" wrapText="1"/>
    </xf>
    <xf numFmtId="4" fontId="23" fillId="0" borderId="0" xfId="0" applyNumberFormat="1" applyFont="1" applyFill="1" applyBorder="1" applyAlignment="1">
      <alignment horizontal="right" vertical="center" wrapText="1"/>
    </xf>
    <xf numFmtId="0" fontId="23" fillId="0" borderId="0" xfId="0" applyFont="1" applyAlignment="1">
      <alignment vertical="center"/>
    </xf>
    <xf numFmtId="0" fontId="53" fillId="0" borderId="0" xfId="13" applyFont="1" applyAlignment="1">
      <alignment horizontal="right"/>
    </xf>
    <xf numFmtId="4" fontId="26" fillId="0" borderId="34" xfId="0" applyNumberFormat="1" applyFont="1" applyFill="1" applyBorder="1" applyAlignment="1">
      <alignment vertical="center" wrapText="1"/>
    </xf>
    <xf numFmtId="4" fontId="25" fillId="0" borderId="34" xfId="0" applyNumberFormat="1" applyFont="1" applyFill="1" applyBorder="1" applyAlignment="1">
      <alignment vertical="center" wrapText="1"/>
    </xf>
    <xf numFmtId="4" fontId="23" fillId="0" borderId="34" xfId="0" applyNumberFormat="1" applyFont="1" applyFill="1" applyBorder="1" applyAlignment="1">
      <alignment vertical="center" wrapText="1"/>
    </xf>
    <xf numFmtId="4" fontId="25" fillId="0" borderId="34" xfId="0" applyNumberFormat="1" applyFont="1" applyFill="1" applyBorder="1" applyAlignment="1">
      <alignment horizontal="right" vertical="center" wrapText="1"/>
    </xf>
    <xf numFmtId="4" fontId="23" fillId="0" borderId="34" xfId="0" applyNumberFormat="1" applyFont="1" applyFill="1" applyBorder="1" applyAlignment="1">
      <alignment horizontal="right" vertical="center" wrapText="1"/>
    </xf>
    <xf numFmtId="4" fontId="26" fillId="0" borderId="34" xfId="0" applyNumberFormat="1" applyFont="1" applyFill="1" applyBorder="1" applyAlignment="1">
      <alignment horizontal="right" vertical="center" wrapText="1"/>
    </xf>
    <xf numFmtId="1" fontId="26" fillId="0" borderId="34" xfId="0" applyNumberFormat="1" applyFont="1" applyFill="1" applyBorder="1" applyAlignment="1">
      <alignment horizontal="center" vertical="center" wrapText="1"/>
    </xf>
    <xf numFmtId="4" fontId="31" fillId="0" borderId="34" xfId="0" applyNumberFormat="1" applyFont="1" applyFill="1" applyBorder="1" applyAlignment="1">
      <alignment horizontal="right" vertical="center" wrapText="1"/>
    </xf>
    <xf numFmtId="4" fontId="31" fillId="0" borderId="34" xfId="0" applyNumberFormat="1" applyFont="1" applyFill="1" applyBorder="1" applyAlignment="1">
      <alignment vertical="center" wrapText="1"/>
    </xf>
    <xf numFmtId="4" fontId="25" fillId="0" borderId="34" xfId="0" applyNumberFormat="1"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165" fontId="25" fillId="0" borderId="13" xfId="0" applyNumberFormat="1" applyFont="1" applyBorder="1" applyAlignment="1">
      <alignment horizontal="right" vertical="center" wrapText="1"/>
    </xf>
    <xf numFmtId="0" fontId="25" fillId="0" borderId="0" xfId="0" applyFont="1" applyAlignment="1">
      <alignment horizontal="right" vertical="center" wrapText="1"/>
    </xf>
    <xf numFmtId="4" fontId="25" fillId="0" borderId="13" xfId="0" applyNumberFormat="1" applyFont="1" applyBorder="1" applyAlignment="1">
      <alignment horizontal="right" vertical="center" wrapText="1"/>
    </xf>
    <xf numFmtId="4" fontId="25" fillId="0" borderId="0" xfId="0" applyNumberFormat="1" applyFont="1" applyBorder="1" applyAlignment="1">
      <alignment horizontal="right" vertical="center" wrapText="1"/>
    </xf>
    <xf numFmtId="165" fontId="25" fillId="0" borderId="0" xfId="0" applyNumberFormat="1" applyFont="1" applyBorder="1" applyAlignment="1">
      <alignment horizontal="right" vertical="center" wrapText="1"/>
    </xf>
    <xf numFmtId="3" fontId="25" fillId="0" borderId="13" xfId="0" applyNumberFormat="1" applyFont="1" applyBorder="1" applyAlignment="1">
      <alignment horizontal="center" vertical="center" wrapText="1"/>
    </xf>
    <xf numFmtId="165" fontId="23" fillId="0" borderId="13" xfId="0" applyNumberFormat="1" applyFont="1" applyBorder="1" applyAlignment="1">
      <alignment horizontal="right" vertical="center" wrapText="1"/>
    </xf>
    <xf numFmtId="0" fontId="17" fillId="0" borderId="0" xfId="0" applyFont="1" applyAlignment="1">
      <alignment horizontal="center"/>
    </xf>
    <xf numFmtId="0" fontId="18" fillId="0" borderId="0" xfId="0" applyFont="1" applyAlignment="1">
      <alignment horizontal="center"/>
    </xf>
    <xf numFmtId="0" fontId="38" fillId="0" borderId="0" xfId="7" applyFont="1" applyAlignment="1">
      <alignment horizontal="center"/>
    </xf>
    <xf numFmtId="0" fontId="38" fillId="0" borderId="0" xfId="7" applyFont="1"/>
    <xf numFmtId="0" fontId="38" fillId="0" borderId="0" xfId="7" applyFont="1" applyAlignment="1">
      <alignment horizontal="right"/>
    </xf>
    <xf numFmtId="0" fontId="38" fillId="0" borderId="13" xfId="14" applyFont="1" applyBorder="1" applyAlignment="1">
      <alignment horizontal="center" vertical="center" wrapText="1"/>
    </xf>
    <xf numFmtId="0" fontId="38" fillId="12" borderId="13" xfId="14" applyFont="1" applyFill="1" applyBorder="1" applyAlignment="1">
      <alignment horizontal="center" vertical="center" wrapText="1"/>
    </xf>
    <xf numFmtId="0" fontId="56" fillId="0" borderId="13" xfId="14" applyFont="1" applyBorder="1" applyAlignment="1">
      <alignment vertical="center"/>
    </xf>
    <xf numFmtId="0" fontId="56" fillId="0" borderId="13" xfId="14" applyFont="1" applyBorder="1" applyAlignment="1">
      <alignment vertical="center" wrapText="1"/>
    </xf>
    <xf numFmtId="4" fontId="56" fillId="12" borderId="13" xfId="14" applyNumberFormat="1" applyFont="1" applyFill="1" applyBorder="1" applyAlignment="1">
      <alignment vertical="center"/>
    </xf>
    <xf numFmtId="4" fontId="56" fillId="0" borderId="13" xfId="14" applyNumberFormat="1" applyFont="1" applyBorder="1" applyAlignment="1">
      <alignment vertical="center"/>
    </xf>
    <xf numFmtId="0" fontId="38" fillId="0" borderId="13" xfId="14" applyFont="1" applyBorder="1" applyAlignment="1">
      <alignment vertical="center"/>
    </xf>
    <xf numFmtId="0" fontId="38" fillId="0" borderId="13" xfId="14" applyFont="1" applyBorder="1" applyAlignment="1">
      <alignment vertical="center" wrapText="1"/>
    </xf>
    <xf numFmtId="4" fontId="38" fillId="12" borderId="13" xfId="14" applyNumberFormat="1" applyFont="1" applyFill="1" applyBorder="1" applyAlignment="1">
      <alignment vertical="center"/>
    </xf>
    <xf numFmtId="4" fontId="38" fillId="0" borderId="13" xfId="14" applyNumberFormat="1" applyFont="1" applyBorder="1" applyAlignment="1">
      <alignment vertical="center"/>
    </xf>
    <xf numFmtId="0" fontId="56" fillId="12" borderId="13" xfId="14" applyFont="1" applyFill="1" applyBorder="1" applyAlignment="1">
      <alignment horizontal="center" vertical="center"/>
    </xf>
    <xf numFmtId="0" fontId="56" fillId="12" borderId="13" xfId="14" applyFont="1" applyFill="1" applyBorder="1" applyAlignment="1">
      <alignment vertical="center" wrapText="1"/>
    </xf>
    <xf numFmtId="0" fontId="17" fillId="0" borderId="0" xfId="0" applyFont="1" applyAlignment="1">
      <alignment horizontal="left"/>
    </xf>
    <xf numFmtId="0" fontId="56" fillId="0" borderId="0" xfId="13" applyFont="1" applyAlignment="1">
      <alignment horizontal="left"/>
    </xf>
    <xf numFmtId="0" fontId="17" fillId="13" borderId="34" xfId="0"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38" fillId="0" borderId="13" xfId="14" applyFont="1" applyFill="1" applyBorder="1" applyAlignment="1">
      <alignment vertical="center" wrapText="1"/>
    </xf>
    <xf numFmtId="0" fontId="38" fillId="0" borderId="13" xfId="14"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57" fillId="0" borderId="0" xfId="0" applyFont="1" applyAlignment="1">
      <alignment horizontal="right"/>
    </xf>
    <xf numFmtId="0" fontId="17" fillId="9" borderId="65" xfId="0" applyFont="1" applyFill="1" applyBorder="1" applyAlignment="1">
      <alignment horizontal="center" vertical="center" wrapText="1"/>
    </xf>
    <xf numFmtId="0" fontId="17" fillId="3" borderId="65" xfId="0" applyFont="1" applyFill="1" applyBorder="1" applyAlignment="1">
      <alignment horizontal="center" vertical="center" wrapText="1"/>
    </xf>
    <xf numFmtId="0" fontId="17" fillId="3" borderId="86" xfId="0" applyFont="1" applyFill="1" applyBorder="1" applyAlignment="1">
      <alignment horizontal="center" vertical="center" wrapText="1"/>
    </xf>
    <xf numFmtId="4" fontId="17" fillId="9" borderId="32" xfId="0" applyNumberFormat="1" applyFont="1" applyFill="1" applyBorder="1" applyAlignment="1">
      <alignment horizontal="right" vertical="center" wrapText="1"/>
    </xf>
    <xf numFmtId="0" fontId="18" fillId="0" borderId="89" xfId="15" quotePrefix="1" applyFont="1" applyBorder="1" applyAlignment="1">
      <alignment horizontal="center" vertical="center" wrapText="1"/>
    </xf>
    <xf numFmtId="0" fontId="18" fillId="0" borderId="44" xfId="0" applyFont="1" applyFill="1" applyBorder="1" applyAlignment="1">
      <alignment horizontal="center" wrapText="1"/>
    </xf>
    <xf numFmtId="4" fontId="17" fillId="9" borderId="44" xfId="0" applyNumberFormat="1" applyFont="1" applyFill="1" applyBorder="1" applyAlignment="1">
      <alignment horizontal="right" vertical="center" wrapText="1"/>
    </xf>
    <xf numFmtId="4" fontId="18" fillId="0" borderId="44" xfId="0" applyNumberFormat="1" applyFont="1" applyBorder="1" applyAlignment="1">
      <alignment horizontal="right" vertical="center" wrapText="1"/>
    </xf>
    <xf numFmtId="0" fontId="18" fillId="0" borderId="24" xfId="16" quotePrefix="1" applyFont="1" applyBorder="1" applyAlignment="1">
      <alignment horizontal="center" vertical="center" wrapText="1"/>
    </xf>
    <xf numFmtId="0" fontId="18" fillId="0" borderId="34" xfId="0" applyFont="1" applyFill="1" applyBorder="1" applyAlignment="1">
      <alignment horizontal="center" vertical="center" wrapText="1"/>
    </xf>
    <xf numFmtId="4" fontId="17" fillId="9" borderId="13" xfId="0" applyNumberFormat="1" applyFont="1" applyFill="1" applyBorder="1" applyAlignment="1">
      <alignment horizontal="right" vertical="center" wrapText="1"/>
    </xf>
    <xf numFmtId="4" fontId="18" fillId="0" borderId="13" xfId="17" applyNumberFormat="1" applyFont="1" applyBorder="1" applyAlignment="1">
      <alignment vertical="center" wrapText="1"/>
    </xf>
    <xf numFmtId="4" fontId="18" fillId="0" borderId="13" xfId="0" applyNumberFormat="1" applyFont="1" applyFill="1" applyBorder="1" applyAlignment="1">
      <alignment horizontal="right" vertical="center" wrapText="1"/>
    </xf>
    <xf numFmtId="4" fontId="18" fillId="0" borderId="25" xfId="0" applyNumberFormat="1" applyFont="1" applyFill="1" applyBorder="1" applyAlignment="1">
      <alignment horizontal="right" vertical="center"/>
    </xf>
    <xf numFmtId="0" fontId="0" fillId="0" borderId="0" xfId="0" applyFont="1" applyFill="1"/>
    <xf numFmtId="0" fontId="18" fillId="0" borderId="36" xfId="0" applyFont="1" applyFill="1" applyBorder="1" applyAlignment="1">
      <alignment horizontal="center" wrapText="1"/>
    </xf>
    <xf numFmtId="0" fontId="18" fillId="0" borderId="58" xfId="5" applyFont="1" applyFill="1" applyBorder="1" applyAlignment="1">
      <alignment horizontal="center" vertical="center" wrapText="1"/>
    </xf>
    <xf numFmtId="0" fontId="18" fillId="0" borderId="24" xfId="19" quotePrefix="1" applyFont="1" applyBorder="1" applyAlignment="1">
      <alignment horizontal="center" vertical="center" wrapText="1"/>
    </xf>
    <xf numFmtId="0" fontId="18" fillId="0" borderId="13" xfId="5" applyFont="1" applyFill="1" applyBorder="1" applyAlignment="1">
      <alignment horizontal="center" vertical="center" wrapText="1"/>
    </xf>
    <xf numFmtId="0" fontId="58" fillId="0" borderId="0" xfId="0" applyFont="1" applyFill="1"/>
    <xf numFmtId="49" fontId="18" fillId="0" borderId="24" xfId="16" applyNumberFormat="1" applyFont="1" applyBorder="1" applyAlignment="1">
      <alignment horizontal="center" vertical="center" wrapText="1"/>
    </xf>
    <xf numFmtId="0" fontId="18" fillId="3" borderId="13" xfId="0" applyFont="1" applyFill="1" applyBorder="1" applyAlignment="1">
      <alignment horizontal="center" vertical="center" wrapText="1"/>
    </xf>
    <xf numFmtId="4" fontId="18" fillId="3" borderId="13" xfId="0" applyNumberFormat="1" applyFont="1" applyFill="1" applyBorder="1" applyAlignment="1">
      <alignment horizontal="right" vertical="center" wrapText="1"/>
    </xf>
    <xf numFmtId="0" fontId="17" fillId="3" borderId="44" xfId="0" applyFont="1" applyFill="1" applyBorder="1" applyAlignment="1">
      <alignment horizontal="center" vertical="center" wrapText="1"/>
    </xf>
    <xf numFmtId="4" fontId="17" fillId="0" borderId="13" xfId="0" applyNumberFormat="1" applyFont="1" applyFill="1" applyBorder="1" applyAlignment="1">
      <alignment horizontal="right" vertical="center" wrapText="1"/>
    </xf>
    <xf numFmtId="0" fontId="59" fillId="3" borderId="44" xfId="0" applyFont="1" applyFill="1" applyBorder="1" applyAlignment="1">
      <alignment horizontal="center" vertical="center" wrapText="1"/>
    </xf>
    <xf numFmtId="0" fontId="18" fillId="0" borderId="45" xfId="5"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60"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59" fillId="3" borderId="13" xfId="0" applyFont="1" applyFill="1" applyBorder="1" applyAlignment="1">
      <alignment horizontal="center" vertical="center" wrapText="1"/>
    </xf>
    <xf numFmtId="0" fontId="18" fillId="3" borderId="45" xfId="5" applyFont="1" applyFill="1" applyBorder="1" applyAlignment="1">
      <alignment horizontal="center" vertical="center" wrapText="1"/>
    </xf>
    <xf numFmtId="0" fontId="18" fillId="3" borderId="36" xfId="0" applyFont="1" applyFill="1" applyBorder="1" applyAlignment="1">
      <alignment horizontal="center" vertical="center" wrapText="1"/>
    </xf>
    <xf numFmtId="49" fontId="18" fillId="0" borderId="24" xfId="0" applyNumberFormat="1" applyFont="1" applyFill="1" applyBorder="1" applyAlignment="1">
      <alignment horizontal="center" vertical="center" wrapText="1"/>
    </xf>
    <xf numFmtId="0" fontId="18" fillId="0" borderId="24" xfId="23" quotePrefix="1" applyFont="1" applyBorder="1" applyAlignment="1">
      <alignment horizontal="center" vertical="center" wrapText="1"/>
    </xf>
    <xf numFmtId="0" fontId="18" fillId="0" borderId="24" xfId="9" quotePrefix="1" applyFont="1" applyBorder="1" applyAlignment="1">
      <alignment horizontal="center" vertical="center" wrapText="1"/>
    </xf>
    <xf numFmtId="0" fontId="18" fillId="0" borderId="60" xfId="0" applyFont="1" applyFill="1" applyBorder="1" applyAlignment="1">
      <alignment horizontal="center" vertical="center" wrapText="1"/>
    </xf>
    <xf numFmtId="0" fontId="18" fillId="0" borderId="24" xfId="25" quotePrefix="1" applyFont="1" applyBorder="1" applyAlignment="1">
      <alignment horizontal="center" vertical="center" wrapText="1"/>
    </xf>
    <xf numFmtId="0" fontId="18" fillId="0" borderId="36" xfId="0" applyFont="1" applyFill="1" applyBorder="1" applyAlignment="1">
      <alignment horizontal="center" vertical="center" wrapText="1"/>
    </xf>
    <xf numFmtId="0" fontId="18" fillId="0" borderId="27" xfId="0" applyFont="1" applyFill="1" applyBorder="1" applyAlignment="1">
      <alignment horizontal="center" wrapText="1"/>
    </xf>
    <xf numFmtId="4" fontId="18" fillId="0" borderId="13" xfId="0" applyNumberFormat="1" applyFont="1" applyBorder="1" applyAlignment="1">
      <alignment horizontal="right" vertical="center" wrapText="1"/>
    </xf>
    <xf numFmtId="4" fontId="18" fillId="0" borderId="25" xfId="0" applyNumberFormat="1" applyFont="1" applyFill="1" applyBorder="1" applyAlignment="1">
      <alignment horizontal="right" vertical="center" wrapText="1"/>
    </xf>
    <xf numFmtId="0" fontId="18" fillId="0" borderId="24" xfId="28" quotePrefix="1" applyFont="1" applyBorder="1" applyAlignment="1">
      <alignment horizontal="center" vertical="center" wrapText="1"/>
    </xf>
    <xf numFmtId="0" fontId="18" fillId="0" borderId="74" xfId="16" quotePrefix="1" applyFont="1" applyBorder="1" applyAlignment="1">
      <alignment horizontal="center" vertical="center" wrapText="1"/>
    </xf>
    <xf numFmtId="4" fontId="17" fillId="9" borderId="27" xfId="0" applyNumberFormat="1" applyFont="1" applyFill="1" applyBorder="1" applyAlignment="1">
      <alignment horizontal="right" vertical="center" wrapText="1"/>
    </xf>
    <xf numFmtId="4" fontId="18" fillId="0" borderId="27" xfId="0" applyNumberFormat="1" applyFont="1" applyFill="1" applyBorder="1" applyAlignment="1">
      <alignment horizontal="right" vertical="center" wrapText="1"/>
    </xf>
    <xf numFmtId="0" fontId="17" fillId="0" borderId="31" xfId="29" quotePrefix="1" applyFont="1" applyBorder="1" applyAlignment="1">
      <alignment horizontal="center" vertical="center" wrapText="1"/>
    </xf>
    <xf numFmtId="0" fontId="18" fillId="0" borderId="32" xfId="5" applyFont="1" applyFill="1" applyBorder="1" applyAlignment="1">
      <alignment horizontal="center" vertical="center" wrapText="1"/>
    </xf>
    <xf numFmtId="0" fontId="18" fillId="0" borderId="42" xfId="0" applyFont="1" applyFill="1" applyBorder="1" applyAlignment="1">
      <alignment horizontal="center" vertical="center" wrapText="1"/>
    </xf>
    <xf numFmtId="4" fontId="17" fillId="0" borderId="32" xfId="0" applyNumberFormat="1" applyFont="1" applyFill="1" applyBorder="1" applyAlignment="1">
      <alignment horizontal="right" vertical="center" wrapText="1"/>
    </xf>
    <xf numFmtId="0" fontId="18" fillId="0" borderId="46" xfId="30" quotePrefix="1" applyFont="1" applyBorder="1" applyAlignment="1">
      <alignment horizontal="center" vertical="center" wrapText="1"/>
    </xf>
    <xf numFmtId="4" fontId="18" fillId="0" borderId="44" xfId="0" applyNumberFormat="1" applyFont="1" applyFill="1" applyBorder="1" applyAlignment="1">
      <alignment horizontal="right" vertical="center" wrapText="1"/>
    </xf>
    <xf numFmtId="0" fontId="56" fillId="0" borderId="31" xfId="31" quotePrefix="1" applyFont="1" applyBorder="1" applyAlignment="1">
      <alignment horizontal="center" vertical="center" wrapText="1"/>
    </xf>
    <xf numFmtId="4" fontId="56" fillId="0" borderId="32" xfId="31" applyNumberFormat="1" applyFont="1" applyBorder="1" applyAlignment="1">
      <alignment horizontal="center" vertical="center" wrapText="1"/>
    </xf>
    <xf numFmtId="0" fontId="0" fillId="0" borderId="32" xfId="0" applyFont="1" applyFill="1" applyBorder="1"/>
    <xf numFmtId="0" fontId="38" fillId="0" borderId="46" xfId="7" quotePrefix="1" applyFont="1" applyBorder="1" applyAlignment="1">
      <alignment horizontal="center" vertical="center" wrapText="1"/>
    </xf>
    <xf numFmtId="4" fontId="17" fillId="0" borderId="44" xfId="0" applyNumberFormat="1" applyFont="1" applyFill="1" applyBorder="1" applyAlignment="1">
      <alignment horizontal="right" vertical="center" wrapText="1"/>
    </xf>
    <xf numFmtId="0" fontId="18" fillId="0" borderId="13" xfId="0" applyFont="1" applyBorder="1" applyAlignment="1">
      <alignment horizontal="center" wrapText="1"/>
    </xf>
    <xf numFmtId="4" fontId="38" fillId="0" borderId="13" xfId="11" applyNumberFormat="1" applyFont="1" applyBorder="1" applyAlignment="1">
      <alignment horizontal="center" vertical="center" wrapText="1"/>
    </xf>
    <xf numFmtId="0" fontId="17" fillId="0" borderId="42" xfId="0" applyFont="1" applyFill="1" applyBorder="1" applyAlignment="1">
      <alignment horizontal="center" vertical="center" wrapText="1"/>
    </xf>
    <xf numFmtId="4" fontId="17" fillId="0" borderId="33" xfId="0" applyNumberFormat="1" applyFont="1" applyFill="1" applyBorder="1" applyAlignment="1">
      <alignment horizontal="right" vertical="center" wrapText="1"/>
    </xf>
    <xf numFmtId="0" fontId="0" fillId="0" borderId="0" xfId="0" applyFont="1" applyBorder="1"/>
    <xf numFmtId="4" fontId="31" fillId="0" borderId="0" xfId="5" applyNumberFormat="1" applyFont="1" applyFill="1" applyBorder="1" applyAlignment="1">
      <alignment horizontal="right" vertical="center" wrapText="1"/>
    </xf>
    <xf numFmtId="4" fontId="0" fillId="0" borderId="0" xfId="0" applyNumberFormat="1" applyFont="1"/>
    <xf numFmtId="49" fontId="18" fillId="0" borderId="36" xfId="16" applyNumberFormat="1" applyFont="1" applyBorder="1" applyAlignment="1">
      <alignment horizontal="center" vertical="center" wrapText="1"/>
    </xf>
    <xf numFmtId="49" fontId="18" fillId="0" borderId="36" xfId="0" applyNumberFormat="1" applyFont="1" applyFill="1" applyBorder="1" applyAlignment="1">
      <alignment horizontal="center" vertical="center" wrapText="1"/>
    </xf>
    <xf numFmtId="0" fontId="27" fillId="0" borderId="0" xfId="0" applyFont="1" applyFill="1" applyBorder="1" applyAlignment="1">
      <alignment horizontal="center" vertical="center"/>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68"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27" xfId="5" applyFont="1" applyFill="1" applyBorder="1" applyAlignment="1">
      <alignment horizontal="center" vertical="center" wrapText="1"/>
    </xf>
    <xf numFmtId="0" fontId="18" fillId="0" borderId="44" xfId="5" applyFont="1" applyFill="1" applyBorder="1" applyAlignment="1">
      <alignment horizontal="center" vertical="center" wrapText="1"/>
    </xf>
    <xf numFmtId="0" fontId="18" fillId="0" borderId="44" xfId="0" applyFont="1" applyFill="1" applyBorder="1" applyAlignment="1">
      <alignment horizontal="center" vertical="center" wrapText="1"/>
    </xf>
    <xf numFmtId="49" fontId="18" fillId="0" borderId="90" xfId="15" applyNumberFormat="1" applyFont="1" applyBorder="1" applyAlignment="1">
      <alignment horizontal="center" vertical="center" wrapText="1"/>
    </xf>
    <xf numFmtId="49" fontId="18" fillId="0" borderId="36" xfId="16" quotePrefix="1" applyNumberFormat="1" applyFont="1" applyBorder="1" applyAlignment="1">
      <alignment horizontal="center" vertical="center" wrapText="1"/>
    </xf>
    <xf numFmtId="49" fontId="17" fillId="0" borderId="41" xfId="29" quotePrefix="1" applyNumberFormat="1" applyFont="1" applyBorder="1" applyAlignment="1">
      <alignment horizontal="center" vertical="center" wrapText="1"/>
    </xf>
    <xf numFmtId="49" fontId="56" fillId="0" borderId="41" xfId="31" quotePrefix="1" applyNumberFormat="1" applyFont="1" applyBorder="1" applyAlignment="1">
      <alignment horizontal="center" vertical="center" wrapText="1"/>
    </xf>
    <xf numFmtId="49" fontId="18" fillId="0" borderId="36" xfId="19" applyNumberFormat="1" applyFont="1" applyBorder="1" applyAlignment="1">
      <alignment horizontal="center" vertical="center" wrapText="1"/>
    </xf>
    <xf numFmtId="49" fontId="18" fillId="0" borderId="36" xfId="23" applyNumberFormat="1" applyFont="1" applyBorder="1" applyAlignment="1">
      <alignment horizontal="center" vertical="center" wrapText="1"/>
    </xf>
    <xf numFmtId="49" fontId="18" fillId="0" borderId="36" xfId="9" applyNumberFormat="1" applyFont="1" applyBorder="1" applyAlignment="1">
      <alignment horizontal="center" vertical="center" wrapText="1"/>
    </xf>
    <xf numFmtId="49" fontId="18" fillId="0" borderId="36" xfId="25" applyNumberFormat="1" applyFont="1" applyBorder="1" applyAlignment="1">
      <alignment horizontal="center" vertical="center" wrapText="1"/>
    </xf>
    <xf numFmtId="49" fontId="18" fillId="0" borderId="36" xfId="28" applyNumberFormat="1" applyFont="1" applyBorder="1" applyAlignment="1">
      <alignment horizontal="center" vertical="center" wrapText="1"/>
    </xf>
    <xf numFmtId="49" fontId="18" fillId="0" borderId="60" xfId="16" applyNumberFormat="1" applyFont="1" applyBorder="1" applyAlignment="1">
      <alignment horizontal="center" vertical="center" wrapText="1"/>
    </xf>
    <xf numFmtId="49" fontId="18" fillId="0" borderId="43" xfId="30" applyNumberFormat="1" applyFont="1" applyBorder="1" applyAlignment="1">
      <alignment horizontal="center" vertical="center" wrapText="1"/>
    </xf>
    <xf numFmtId="49" fontId="38" fillId="0" borderId="43" xfId="7" applyNumberFormat="1" applyFont="1" applyBorder="1" applyAlignment="1">
      <alignment horizontal="center" vertical="center" wrapText="1"/>
    </xf>
    <xf numFmtId="4" fontId="25" fillId="3" borderId="13" xfId="0" applyNumberFormat="1" applyFont="1" applyFill="1" applyBorder="1" applyAlignment="1">
      <alignment horizontal="right" vertical="center" wrapText="1"/>
    </xf>
    <xf numFmtId="4" fontId="38" fillId="3" borderId="13" xfId="14" applyNumberFormat="1" applyFont="1" applyFill="1" applyBorder="1" applyAlignment="1">
      <alignment vertical="center"/>
    </xf>
    <xf numFmtId="0" fontId="3" fillId="0" borderId="0" xfId="0" applyFont="1" applyBorder="1"/>
    <xf numFmtId="49" fontId="3" fillId="0" borderId="0" xfId="0" applyNumberFormat="1" applyFont="1" applyBorder="1"/>
    <xf numFmtId="0" fontId="27" fillId="0" borderId="0" xfId="0" applyFont="1" applyAlignment="1">
      <alignment vertical="center" wrapText="1"/>
    </xf>
    <xf numFmtId="165" fontId="30" fillId="13" borderId="13" xfId="0" applyNumberFormat="1" applyFont="1" applyFill="1" applyBorder="1" applyAlignment="1">
      <alignment vertical="center" wrapText="1"/>
    </xf>
    <xf numFmtId="165" fontId="30" fillId="13" borderId="27" xfId="0" applyNumberFormat="1" applyFont="1" applyFill="1" applyBorder="1" applyAlignment="1">
      <alignment vertical="center" wrapText="1"/>
    </xf>
    <xf numFmtId="165" fontId="30" fillId="13" borderId="32" xfId="0" applyNumberFormat="1" applyFont="1" applyFill="1" applyBorder="1" applyAlignment="1">
      <alignment vertical="center" wrapText="1"/>
    </xf>
    <xf numFmtId="4" fontId="18" fillId="0" borderId="45" xfId="0" applyNumberFormat="1" applyFont="1" applyBorder="1" applyAlignment="1">
      <alignment horizontal="right" vertical="center"/>
    </xf>
    <xf numFmtId="4" fontId="18" fillId="0" borderId="34" xfId="0" applyNumberFormat="1" applyFont="1" applyFill="1" applyBorder="1" applyAlignment="1">
      <alignment horizontal="right" vertical="center"/>
    </xf>
    <xf numFmtId="4" fontId="18" fillId="0" borderId="34" xfId="0" applyNumberFormat="1" applyFont="1" applyFill="1" applyBorder="1" applyAlignment="1">
      <alignment horizontal="right" vertical="center" wrapText="1"/>
    </xf>
    <xf numFmtId="4" fontId="18" fillId="0" borderId="58" xfId="0" applyNumberFormat="1" applyFont="1" applyFill="1" applyBorder="1" applyAlignment="1">
      <alignment horizontal="right" vertical="center"/>
    </xf>
    <xf numFmtId="4" fontId="18" fillId="0" borderId="45" xfId="0" applyNumberFormat="1" applyFont="1" applyFill="1" applyBorder="1" applyAlignment="1">
      <alignment horizontal="right" vertical="center"/>
    </xf>
    <xf numFmtId="4" fontId="18" fillId="0" borderId="45" xfId="0" applyNumberFormat="1" applyFont="1" applyFill="1" applyBorder="1" applyAlignment="1">
      <alignment horizontal="right" vertical="center" wrapText="1"/>
    </xf>
    <xf numFmtId="4" fontId="17" fillId="0" borderId="42" xfId="0" applyNumberFormat="1" applyFont="1" applyFill="1" applyBorder="1" applyAlignment="1">
      <alignment horizontal="right" vertical="center" wrapText="1"/>
    </xf>
    <xf numFmtId="0" fontId="17" fillId="0" borderId="78" xfId="0" quotePrefix="1" applyFont="1" applyFill="1" applyBorder="1" applyAlignment="1">
      <alignment horizontal="center" vertical="center" wrapText="1"/>
    </xf>
    <xf numFmtId="0" fontId="17" fillId="0" borderId="94" xfId="0" quotePrefix="1" applyFont="1" applyFill="1" applyBorder="1" applyAlignment="1">
      <alignment horizontal="center" vertical="center" wrapText="1"/>
    </xf>
    <xf numFmtId="0" fontId="18" fillId="0" borderId="91" xfId="0" applyFont="1" applyFill="1" applyBorder="1" applyAlignment="1">
      <alignment horizontal="center" wrapText="1"/>
    </xf>
    <xf numFmtId="0" fontId="18" fillId="0" borderId="93" xfId="0" applyFont="1" applyFill="1" applyBorder="1" applyAlignment="1">
      <alignment horizontal="center" wrapText="1"/>
    </xf>
    <xf numFmtId="4" fontId="17" fillId="9" borderId="91" xfId="0" applyNumberFormat="1" applyFont="1" applyFill="1" applyBorder="1" applyAlignment="1">
      <alignment horizontal="right" vertical="center" wrapText="1"/>
    </xf>
    <xf numFmtId="165" fontId="30" fillId="13" borderId="44" xfId="0" applyNumberFormat="1" applyFont="1" applyFill="1" applyBorder="1" applyAlignment="1">
      <alignment vertical="center" wrapText="1"/>
    </xf>
    <xf numFmtId="4" fontId="17" fillId="0" borderId="91" xfId="0" applyNumberFormat="1" applyFont="1" applyBorder="1" applyAlignment="1">
      <alignment horizontal="right" wrapText="1"/>
    </xf>
    <xf numFmtId="0" fontId="38" fillId="0" borderId="27" xfId="8" quotePrefix="1" applyFont="1" applyBorder="1" applyAlignment="1">
      <alignment vertical="center" wrapText="1"/>
    </xf>
    <xf numFmtId="0" fontId="38" fillId="0" borderId="68" xfId="8" quotePrefix="1" applyFont="1" applyBorder="1" applyAlignment="1">
      <alignment vertical="center" wrapText="1"/>
    </xf>
    <xf numFmtId="49" fontId="38" fillId="0" borderId="27" xfId="8" applyNumberFormat="1" applyFont="1" applyBorder="1" applyAlignment="1">
      <alignment vertical="center" wrapText="1"/>
    </xf>
    <xf numFmtId="49" fontId="38" fillId="0" borderId="68" xfId="8" quotePrefix="1" applyNumberFormat="1" applyFont="1" applyBorder="1" applyAlignment="1">
      <alignment vertical="center" wrapText="1"/>
    </xf>
    <xf numFmtId="0" fontId="17" fillId="0" borderId="41" xfId="0" applyFont="1" applyFill="1" applyBorder="1" applyAlignment="1">
      <alignment horizontal="center" vertical="center" wrapText="1"/>
    </xf>
    <xf numFmtId="4" fontId="17" fillId="0" borderId="27" xfId="0" applyNumberFormat="1" applyFont="1" applyFill="1" applyBorder="1" applyAlignment="1">
      <alignment horizontal="right"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92" xfId="0" quotePrefix="1" applyFont="1" applyFill="1" applyBorder="1" applyAlignment="1">
      <alignment horizontal="center" vertical="center" wrapText="1"/>
    </xf>
    <xf numFmtId="49" fontId="18" fillId="0" borderId="0" xfId="15" applyNumberFormat="1" applyFont="1" applyBorder="1" applyAlignment="1">
      <alignment horizontal="center" vertical="center" wrapText="1"/>
    </xf>
    <xf numFmtId="49" fontId="18" fillId="0" borderId="79" xfId="16" applyNumberFormat="1" applyFont="1" applyBorder="1" applyAlignment="1">
      <alignment horizontal="center" vertical="center" wrapText="1"/>
    </xf>
    <xf numFmtId="49" fontId="18" fillId="0" borderId="79" xfId="19" applyNumberFormat="1" applyFont="1" applyBorder="1" applyAlignment="1">
      <alignment horizontal="center" vertical="center" wrapText="1"/>
    </xf>
    <xf numFmtId="49" fontId="18" fillId="0" borderId="79" xfId="0" applyNumberFormat="1" applyFont="1" applyFill="1" applyBorder="1" applyAlignment="1">
      <alignment horizontal="center" vertical="center" wrapText="1"/>
    </xf>
    <xf numFmtId="49" fontId="18" fillId="0" borderId="79" xfId="23" applyNumberFormat="1" applyFont="1" applyBorder="1" applyAlignment="1">
      <alignment horizontal="center" vertical="center" wrapText="1"/>
    </xf>
    <xf numFmtId="49" fontId="18" fillId="0" borderId="79" xfId="9" applyNumberFormat="1" applyFont="1" applyBorder="1" applyAlignment="1">
      <alignment horizontal="center" vertical="center" wrapText="1"/>
    </xf>
    <xf numFmtId="49" fontId="18" fillId="0" borderId="79" xfId="25" applyNumberFormat="1" applyFont="1" applyBorder="1" applyAlignment="1">
      <alignment horizontal="center" vertical="center" wrapText="1"/>
    </xf>
    <xf numFmtId="49" fontId="18" fillId="0" borderId="79" xfId="28" applyNumberFormat="1" applyFont="1" applyBorder="1" applyAlignment="1">
      <alignment horizontal="center" vertical="center" wrapText="1"/>
    </xf>
    <xf numFmtId="49" fontId="18" fillId="0" borderId="70" xfId="16" applyNumberFormat="1" applyFont="1" applyBorder="1" applyAlignment="1">
      <alignment horizontal="center" vertical="center" wrapText="1"/>
    </xf>
    <xf numFmtId="49" fontId="17" fillId="0" borderId="11" xfId="29" quotePrefix="1" applyNumberFormat="1" applyFont="1" applyBorder="1" applyAlignment="1">
      <alignment horizontal="center" vertical="center" wrapText="1"/>
    </xf>
    <xf numFmtId="49" fontId="18" fillId="0" borderId="81" xfId="30" applyNumberFormat="1" applyFont="1" applyBorder="1" applyAlignment="1">
      <alignment horizontal="center" vertical="center" wrapText="1"/>
    </xf>
    <xf numFmtId="49" fontId="56" fillId="0" borderId="11" xfId="31" quotePrefix="1" applyNumberFormat="1" applyFont="1" applyBorder="1" applyAlignment="1">
      <alignment horizontal="center" vertical="center" wrapText="1"/>
    </xf>
    <xf numFmtId="49" fontId="38" fillId="0" borderId="81" xfId="7" applyNumberFormat="1" applyFont="1" applyBorder="1" applyAlignment="1">
      <alignment horizontal="center" vertical="center" wrapText="1"/>
    </xf>
    <xf numFmtId="49" fontId="38" fillId="0" borderId="58" xfId="8" applyNumberFormat="1" applyFont="1" applyBorder="1" applyAlignment="1">
      <alignment vertical="center" wrapText="1"/>
    </xf>
    <xf numFmtId="49" fontId="38" fillId="0" borderId="80" xfId="8" quotePrefix="1" applyNumberFormat="1" applyFont="1" applyBorder="1" applyAlignment="1">
      <alignment vertical="center" wrapText="1"/>
    </xf>
    <xf numFmtId="0" fontId="17" fillId="0" borderId="42" xfId="0" applyFont="1" applyBorder="1" applyAlignment="1">
      <alignment horizontal="center" vertical="center" wrapText="1"/>
    </xf>
    <xf numFmtId="2" fontId="17" fillId="0" borderId="78" xfId="0" applyNumberFormat="1" applyFont="1" applyBorder="1" applyAlignment="1">
      <alignment vertical="center" wrapText="1"/>
    </xf>
    <xf numFmtId="4" fontId="17" fillId="0" borderId="71" xfId="0" applyNumberFormat="1" applyFont="1" applyBorder="1" applyAlignment="1">
      <alignment horizontal="right" wrapText="1"/>
    </xf>
    <xf numFmtId="4" fontId="18" fillId="0" borderId="89" xfId="15" quotePrefix="1" applyNumberFormat="1" applyFont="1" applyBorder="1" applyAlignment="1">
      <alignment vertical="center" wrapText="1"/>
    </xf>
    <xf numFmtId="0" fontId="0" fillId="0" borderId="25" xfId="0" applyFont="1" applyBorder="1"/>
    <xf numFmtId="4" fontId="18" fillId="0" borderId="24" xfId="16" quotePrefix="1" applyNumberFormat="1" applyFont="1" applyBorder="1" applyAlignment="1">
      <alignment vertical="center" wrapText="1"/>
    </xf>
    <xf numFmtId="0" fontId="0" fillId="0" borderId="25" xfId="0" applyFont="1" applyFill="1" applyBorder="1"/>
    <xf numFmtId="4" fontId="38" fillId="0" borderId="24" xfId="18" quotePrefix="1" applyNumberFormat="1" applyFont="1" applyBorder="1" applyAlignment="1">
      <alignment vertical="center" wrapText="1"/>
    </xf>
    <xf numFmtId="4" fontId="38" fillId="0" borderId="24" xfId="8" quotePrefix="1" applyNumberFormat="1" applyFont="1" applyBorder="1" applyAlignment="1">
      <alignment vertical="center" wrapText="1"/>
    </xf>
    <xf numFmtId="4" fontId="18" fillId="0" borderId="24" xfId="19" quotePrefix="1" applyNumberFormat="1" applyFont="1" applyBorder="1" applyAlignment="1">
      <alignment vertical="center" wrapText="1"/>
    </xf>
    <xf numFmtId="0" fontId="58" fillId="0" borderId="25" xfId="0" applyFont="1" applyFill="1" applyBorder="1"/>
    <xf numFmtId="4" fontId="18" fillId="3" borderId="24" xfId="16" applyNumberFormat="1" applyFont="1" applyFill="1" applyBorder="1" applyAlignment="1">
      <alignment vertical="center" wrapText="1"/>
    </xf>
    <xf numFmtId="4" fontId="18" fillId="3" borderId="24" xfId="16" quotePrefix="1" applyNumberFormat="1" applyFont="1" applyFill="1" applyBorder="1" applyAlignment="1">
      <alignment horizontal="center" vertical="center" wrapText="1"/>
    </xf>
    <xf numFmtId="2" fontId="18" fillId="0" borderId="24" xfId="0" quotePrefix="1" applyNumberFormat="1" applyFont="1" applyFill="1" applyBorder="1" applyAlignment="1">
      <alignment horizontal="left" vertical="center" wrapText="1"/>
    </xf>
    <xf numFmtId="2" fontId="18" fillId="0" borderId="24" xfId="0" applyNumberFormat="1" applyFont="1" applyFill="1" applyBorder="1" applyAlignment="1">
      <alignment horizontal="left" vertical="center" wrapText="1"/>
    </xf>
    <xf numFmtId="4" fontId="38" fillId="0" borderId="24" xfId="22" quotePrefix="1" applyNumberFormat="1" applyFont="1" applyBorder="1" applyAlignment="1">
      <alignment vertical="center" wrapText="1"/>
    </xf>
    <xf numFmtId="4" fontId="18" fillId="0" borderId="24" xfId="23" quotePrefix="1" applyNumberFormat="1" applyFont="1" applyBorder="1" applyAlignment="1">
      <alignment vertical="center" wrapText="1"/>
    </xf>
    <xf numFmtId="4" fontId="38" fillId="0" borderId="24" xfId="9" quotePrefix="1" applyNumberFormat="1" applyFont="1" applyBorder="1" applyAlignment="1">
      <alignment vertical="center" wrapText="1"/>
    </xf>
    <xf numFmtId="4" fontId="38" fillId="0" borderId="24" xfId="6" quotePrefix="1" applyNumberFormat="1" applyFont="1" applyBorder="1" applyAlignment="1">
      <alignment vertical="center" wrapText="1"/>
    </xf>
    <xf numFmtId="4" fontId="18" fillId="0" borderId="24" xfId="24" quotePrefix="1" applyNumberFormat="1" applyFont="1" applyBorder="1" applyAlignment="1">
      <alignment vertical="center" wrapText="1"/>
    </xf>
    <xf numFmtId="4" fontId="18" fillId="0" borderId="24" xfId="9" quotePrefix="1" applyNumberFormat="1" applyFont="1" applyBorder="1" applyAlignment="1">
      <alignment vertical="center" wrapText="1"/>
    </xf>
    <xf numFmtId="4" fontId="38" fillId="0" borderId="24" xfId="26" quotePrefix="1" applyNumberFormat="1" applyFont="1" applyBorder="1" applyAlignment="1">
      <alignment vertical="center" wrapText="1"/>
    </xf>
    <xf numFmtId="4" fontId="18" fillId="0" borderId="24" xfId="28" quotePrefix="1" applyNumberFormat="1" applyFont="1" applyBorder="1" applyAlignment="1">
      <alignment vertical="center" wrapText="1"/>
    </xf>
    <xf numFmtId="4" fontId="18" fillId="0" borderId="74" xfId="16" quotePrefix="1" applyNumberFormat="1" applyFont="1" applyBorder="1" applyAlignment="1">
      <alignment vertical="center" wrapText="1"/>
    </xf>
    <xf numFmtId="4" fontId="17" fillId="0" borderId="31" xfId="29" quotePrefix="1" applyNumberFormat="1" applyFont="1" applyBorder="1" applyAlignment="1">
      <alignment vertical="center" wrapText="1"/>
    </xf>
    <xf numFmtId="4" fontId="18" fillId="0" borderId="46" xfId="30" quotePrefix="1" applyNumberFormat="1" applyFont="1" applyBorder="1" applyAlignment="1">
      <alignment vertical="center" wrapText="1"/>
    </xf>
    <xf numFmtId="4" fontId="56" fillId="0" borderId="31" xfId="31" quotePrefix="1" applyNumberFormat="1" applyFont="1" applyBorder="1" applyAlignment="1">
      <alignment vertical="center" wrapText="1"/>
    </xf>
    <xf numFmtId="4" fontId="38" fillId="0" borderId="46" xfId="7" quotePrefix="1" applyNumberFormat="1" applyFont="1" applyBorder="1" applyAlignment="1">
      <alignment vertical="center" wrapText="1"/>
    </xf>
    <xf numFmtId="4" fontId="38" fillId="0" borderId="74" xfId="8" quotePrefix="1" applyNumberFormat="1" applyFont="1" applyBorder="1" applyAlignment="1">
      <alignment vertical="center" wrapText="1"/>
    </xf>
    <xf numFmtId="4" fontId="38" fillId="0" borderId="89" xfId="8" quotePrefix="1" applyNumberFormat="1" applyFont="1" applyBorder="1" applyAlignment="1">
      <alignment vertical="center" wrapText="1"/>
    </xf>
    <xf numFmtId="0" fontId="0" fillId="0" borderId="75" xfId="0" applyFont="1" applyFill="1" applyBorder="1"/>
    <xf numFmtId="165" fontId="56" fillId="0" borderId="13" xfId="14" applyNumberFormat="1" applyFont="1" applyBorder="1" applyAlignment="1">
      <alignment vertical="center"/>
    </xf>
    <xf numFmtId="165" fontId="56" fillId="3" borderId="13" xfId="14" applyNumberFormat="1" applyFont="1" applyFill="1" applyBorder="1" applyAlignment="1">
      <alignment vertical="center"/>
    </xf>
    <xf numFmtId="165" fontId="56" fillId="12" borderId="13" xfId="14" applyNumberFormat="1" applyFont="1" applyFill="1" applyBorder="1" applyAlignment="1">
      <alignment vertical="center"/>
    </xf>
    <xf numFmtId="4" fontId="11" fillId="0" borderId="0" xfId="0" applyNumberFormat="1" applyFont="1"/>
    <xf numFmtId="0" fontId="25" fillId="0" borderId="0" xfId="0" applyFont="1"/>
    <xf numFmtId="0" fontId="6" fillId="3" borderId="0" xfId="0" applyFont="1" applyFill="1" applyBorder="1" applyAlignment="1">
      <alignment horizontal="left" vertical="center" wrapText="1"/>
    </xf>
    <xf numFmtId="49" fontId="7" fillId="3" borderId="0" xfId="0" applyNumberFormat="1" applyFont="1" applyFill="1" applyBorder="1" applyAlignment="1">
      <alignment horizontal="center" vertical="center" wrapText="1"/>
    </xf>
    <xf numFmtId="166" fontId="34" fillId="3" borderId="0" xfId="0" applyNumberFormat="1" applyFont="1" applyFill="1" applyBorder="1" applyAlignment="1">
      <alignment horizontal="right" vertical="center" wrapText="1"/>
    </xf>
    <xf numFmtId="165" fontId="7" fillId="3" borderId="0" xfId="0" applyNumberFormat="1" applyFont="1" applyFill="1" applyBorder="1" applyAlignment="1" applyProtection="1">
      <alignment horizontal="right" vertical="center"/>
    </xf>
    <xf numFmtId="4" fontId="7" fillId="3" borderId="0" xfId="0" applyNumberFormat="1" applyFont="1" applyFill="1" applyBorder="1" applyAlignment="1" applyProtection="1">
      <alignment horizontal="right" vertical="center"/>
    </xf>
    <xf numFmtId="0" fontId="16" fillId="3" borderId="0" xfId="0" applyFont="1" applyFill="1"/>
    <xf numFmtId="0" fontId="57" fillId="0" borderId="0" xfId="0" applyFont="1"/>
    <xf numFmtId="0" fontId="23" fillId="0" borderId="0" xfId="0" applyFont="1" applyAlignment="1">
      <alignment horizontal="center" wrapText="1"/>
    </xf>
    <xf numFmtId="0" fontId="58" fillId="0" borderId="0" xfId="0" applyFont="1" applyAlignment="1">
      <alignment horizontal="center" vertical="center"/>
    </xf>
    <xf numFmtId="0" fontId="58" fillId="0" borderId="0" xfId="0" applyFont="1"/>
    <xf numFmtId="0" fontId="62" fillId="0" borderId="0" xfId="0" applyFont="1" applyAlignment="1">
      <alignment horizontal="right"/>
    </xf>
    <xf numFmtId="0" fontId="62" fillId="0" borderId="0" xfId="0" applyFont="1" applyAlignment="1">
      <alignment horizontal="center"/>
    </xf>
    <xf numFmtId="0" fontId="62" fillId="0" borderId="0" xfId="0" applyFont="1" applyAlignment="1">
      <alignment horizontal="center" vertical="center"/>
    </xf>
    <xf numFmtId="0" fontId="23" fillId="0" borderId="0" xfId="0" applyFont="1" applyAlignment="1">
      <alignment wrapText="1"/>
    </xf>
    <xf numFmtId="0" fontId="18" fillId="0" borderId="0" xfId="0" applyFont="1" applyAlignment="1">
      <alignment horizontal="right"/>
    </xf>
    <xf numFmtId="0" fontId="11" fillId="0" borderId="13" xfId="0" applyFont="1" applyBorder="1" applyAlignment="1">
      <alignment horizontal="center" vertical="center" wrapText="1"/>
    </xf>
    <xf numFmtId="0" fontId="58" fillId="0" borderId="0" xfId="0" applyFont="1" applyAlignment="1">
      <alignment wrapText="1"/>
    </xf>
    <xf numFmtId="0" fontId="63" fillId="0" borderId="13" xfId="32" quotePrefix="1" applyFont="1" applyBorder="1" applyAlignment="1">
      <alignment horizontal="center" vertical="center" wrapText="1"/>
    </xf>
    <xf numFmtId="0" fontId="63" fillId="0" borderId="13" xfId="32" applyFont="1" applyBorder="1" applyAlignment="1">
      <alignment horizontal="center" vertical="center" wrapText="1"/>
    </xf>
    <xf numFmtId="4" fontId="63" fillId="0" borderId="13" xfId="32" applyNumberFormat="1" applyFont="1" applyBorder="1" applyAlignment="1">
      <alignment horizontal="center" vertical="center" wrapText="1"/>
    </xf>
    <xf numFmtId="4" fontId="17" fillId="0" borderId="13" xfId="0" applyNumberFormat="1" applyFont="1" applyBorder="1" applyAlignment="1">
      <alignment horizontal="right" vertical="center" wrapText="1"/>
    </xf>
    <xf numFmtId="4" fontId="17" fillId="0" borderId="32" xfId="0" applyNumberFormat="1" applyFont="1" applyBorder="1" applyAlignment="1">
      <alignment horizontal="center" vertical="center" wrapText="1"/>
    </xf>
    <xf numFmtId="4" fontId="17" fillId="0" borderId="32" xfId="0" applyNumberFormat="1" applyFont="1" applyBorder="1" applyAlignment="1">
      <alignment horizontal="right" vertical="center" wrapText="1"/>
    </xf>
    <xf numFmtId="0" fontId="64" fillId="0" borderId="0" xfId="0" applyFont="1" applyAlignment="1">
      <alignment wrapText="1"/>
    </xf>
    <xf numFmtId="0" fontId="64" fillId="0" borderId="0" xfId="0" applyFont="1"/>
    <xf numFmtId="0" fontId="17" fillId="0" borderId="0" xfId="0" applyFont="1" applyBorder="1" applyAlignment="1">
      <alignment horizontal="center" vertical="center" wrapText="1"/>
    </xf>
    <xf numFmtId="4" fontId="17" fillId="0" borderId="0" xfId="0" applyNumberFormat="1" applyFont="1" applyBorder="1" applyAlignment="1">
      <alignment horizontal="right" vertical="center" wrapText="1"/>
    </xf>
    <xf numFmtId="0" fontId="18" fillId="0" borderId="0" xfId="0" applyFont="1" applyAlignment="1">
      <alignment horizontal="center" vertical="center" wrapText="1"/>
    </xf>
    <xf numFmtId="0" fontId="23" fillId="0" borderId="0" xfId="0" applyFont="1" applyAlignment="1">
      <alignment horizontal="left"/>
    </xf>
    <xf numFmtId="0" fontId="23" fillId="0" borderId="0" xfId="0" applyFont="1"/>
    <xf numFmtId="0" fontId="25" fillId="14" borderId="0" xfId="0" applyFont="1" applyFill="1"/>
    <xf numFmtId="0" fontId="18" fillId="0" borderId="0" xfId="0" applyFont="1" applyAlignment="1">
      <alignment horizontal="center" vertical="center"/>
    </xf>
    <xf numFmtId="49" fontId="38" fillId="0" borderId="27" xfId="33" applyNumberFormat="1" applyFont="1" applyBorder="1" applyAlignment="1">
      <alignment horizontal="center" vertical="center" wrapText="1"/>
    </xf>
    <xf numFmtId="4" fontId="38" fillId="0" borderId="27" xfId="33" quotePrefix="1" applyNumberFormat="1" applyFont="1" applyBorder="1" applyAlignment="1">
      <alignment vertical="center" wrapText="1"/>
    </xf>
    <xf numFmtId="0" fontId="18" fillId="0" borderId="27" xfId="0" applyFont="1" applyBorder="1" applyAlignment="1">
      <alignment horizontal="center" vertical="center" wrapText="1"/>
    </xf>
    <xf numFmtId="4" fontId="18" fillId="0" borderId="27" xfId="0" applyNumberFormat="1" applyFont="1" applyBorder="1" applyAlignment="1">
      <alignment horizontal="center" vertical="center" wrapText="1"/>
    </xf>
    <xf numFmtId="4" fontId="17" fillId="0" borderId="27" xfId="0" applyNumberFormat="1" applyFont="1" applyBorder="1" applyAlignment="1">
      <alignment horizontal="right" vertical="center" wrapText="1"/>
    </xf>
    <xf numFmtId="164" fontId="18" fillId="0" borderId="27" xfId="0" applyNumberFormat="1" applyFont="1" applyBorder="1" applyAlignment="1">
      <alignment horizontal="center" vertical="center" wrapText="1"/>
    </xf>
    <xf numFmtId="164" fontId="17" fillId="0" borderId="33" xfId="0" applyNumberFormat="1" applyFont="1" applyBorder="1" applyAlignment="1">
      <alignment horizontal="center" vertical="center" wrapText="1"/>
    </xf>
    <xf numFmtId="0" fontId="38" fillId="0" borderId="13" xfId="34" quotePrefix="1" applyFont="1" applyBorder="1" applyAlignment="1">
      <alignment horizontal="center" vertical="center" wrapText="1"/>
    </xf>
    <xf numFmtId="4" fontId="38" fillId="0" borderId="13" xfId="34" quotePrefix="1" applyNumberFormat="1" applyFont="1" applyBorder="1" applyAlignment="1">
      <alignment horizontal="center" vertical="center" wrapText="1"/>
    </xf>
    <xf numFmtId="0" fontId="5" fillId="0" borderId="46" xfId="0" applyFont="1" applyFill="1" applyBorder="1" applyAlignment="1">
      <alignment horizontal="left" vertical="top" wrapText="1"/>
    </xf>
    <xf numFmtId="165" fontId="25" fillId="0" borderId="73" xfId="0" applyNumberFormat="1" applyFont="1" applyFill="1" applyBorder="1" applyAlignment="1" applyProtection="1">
      <alignment horizontal="right" vertical="top"/>
    </xf>
    <xf numFmtId="0" fontId="5" fillId="0" borderId="24" xfId="0" applyFont="1" applyFill="1" applyBorder="1" applyAlignment="1">
      <alignment horizontal="left" vertical="top" wrapText="1"/>
    </xf>
    <xf numFmtId="165" fontId="25" fillId="0" borderId="25" xfId="0" applyNumberFormat="1" applyFont="1" applyFill="1" applyBorder="1" applyAlignment="1" applyProtection="1">
      <alignment horizontal="right" vertical="top"/>
    </xf>
    <xf numFmtId="0" fontId="5" fillId="0" borderId="74" xfId="0" applyFont="1" applyFill="1" applyBorder="1" applyAlignment="1">
      <alignment horizontal="left" vertical="top" wrapText="1"/>
    </xf>
    <xf numFmtId="165" fontId="25" fillId="0" borderId="75" xfId="0" applyNumberFormat="1" applyFont="1" applyFill="1" applyBorder="1" applyAlignment="1" applyProtection="1">
      <alignment horizontal="right" vertical="top"/>
    </xf>
    <xf numFmtId="0" fontId="30" fillId="0" borderId="46" xfId="0" applyFont="1" applyFill="1" applyBorder="1" applyAlignment="1">
      <alignment horizontal="left" vertical="top" wrapText="1"/>
    </xf>
    <xf numFmtId="165" fontId="26" fillId="0" borderId="73" xfId="0" applyNumberFormat="1" applyFont="1" applyFill="1" applyBorder="1" applyAlignment="1" applyProtection="1">
      <alignment horizontal="right" vertical="top"/>
    </xf>
    <xf numFmtId="167" fontId="42" fillId="7" borderId="95" xfId="0" applyNumberFormat="1" applyFont="1" applyFill="1" applyBorder="1" applyAlignment="1">
      <alignment horizontal="left" vertical="center" wrapText="1"/>
    </xf>
    <xf numFmtId="165" fontId="26" fillId="0" borderId="25" xfId="0" applyNumberFormat="1" applyFont="1" applyFill="1" applyBorder="1" applyAlignment="1" applyProtection="1">
      <alignment horizontal="right" vertical="top"/>
    </xf>
    <xf numFmtId="0" fontId="38" fillId="0" borderId="24" xfId="3" applyFont="1" applyBorder="1" applyAlignment="1">
      <alignment vertical="center" wrapText="1"/>
    </xf>
    <xf numFmtId="0" fontId="41" fillId="0" borderId="24" xfId="3" applyFont="1" applyBorder="1" applyAlignment="1">
      <alignment vertical="center" wrapText="1"/>
    </xf>
    <xf numFmtId="0" fontId="30" fillId="0" borderId="24" xfId="0" applyFont="1" applyFill="1" applyBorder="1" applyAlignment="1">
      <alignment horizontal="left" vertical="top" wrapText="1"/>
    </xf>
    <xf numFmtId="165" fontId="26" fillId="0" borderId="75" xfId="0" applyNumberFormat="1" applyFont="1" applyFill="1" applyBorder="1" applyAlignment="1" applyProtection="1">
      <alignment horizontal="right" vertical="top"/>
    </xf>
    <xf numFmtId="0" fontId="42" fillId="7" borderId="46" xfId="0" applyFont="1" applyFill="1" applyBorder="1" applyAlignment="1">
      <alignment horizontal="left" vertical="center" wrapText="1"/>
    </xf>
    <xf numFmtId="0" fontId="42" fillId="7" borderId="24" xfId="0" applyFont="1" applyFill="1" applyBorder="1" applyAlignment="1">
      <alignment horizontal="left" vertical="center" wrapText="1"/>
    </xf>
    <xf numFmtId="0" fontId="5" fillId="0" borderId="96" xfId="0" applyFont="1" applyBorder="1" applyAlignment="1">
      <alignment wrapText="1"/>
    </xf>
    <xf numFmtId="0" fontId="35" fillId="7" borderId="24" xfId="0" applyFont="1" applyFill="1" applyBorder="1" applyAlignment="1">
      <alignment horizontal="left" vertical="center" wrapText="1"/>
    </xf>
    <xf numFmtId="0" fontId="35" fillId="7" borderId="74" xfId="0" applyFont="1" applyFill="1" applyBorder="1" applyAlignment="1">
      <alignment horizontal="left" vertical="center" wrapText="1"/>
    </xf>
    <xf numFmtId="0" fontId="18" fillId="0" borderId="46" xfId="0" applyFont="1" applyFill="1" applyBorder="1" applyAlignment="1">
      <alignment horizontal="left" vertical="top" wrapText="1"/>
    </xf>
    <xf numFmtId="0" fontId="17" fillId="0" borderId="24" xfId="0" applyFont="1" applyFill="1" applyBorder="1" applyAlignment="1">
      <alignment horizontal="left" vertical="top" wrapText="1"/>
    </xf>
    <xf numFmtId="165" fontId="23" fillId="0" borderId="25" xfId="0" applyNumberFormat="1" applyFont="1" applyFill="1" applyBorder="1" applyAlignment="1" applyProtection="1">
      <alignment horizontal="right" vertical="top"/>
    </xf>
    <xf numFmtId="0" fontId="20" fillId="0" borderId="24" xfId="0" applyFont="1" applyFill="1" applyBorder="1" applyAlignment="1">
      <alignment horizontal="left" vertical="top" wrapText="1"/>
    </xf>
    <xf numFmtId="0" fontId="20" fillId="0" borderId="46" xfId="0" applyFont="1" applyFill="1" applyBorder="1" applyAlignment="1">
      <alignment horizontal="left" vertical="top" wrapText="1"/>
    </xf>
    <xf numFmtId="0" fontId="18" fillId="0" borderId="24" xfId="0" applyFont="1" applyFill="1" applyBorder="1" applyAlignment="1">
      <alignment horizontal="left" vertical="top" wrapText="1"/>
    </xf>
    <xf numFmtId="0" fontId="18" fillId="0" borderId="74" xfId="0" applyFont="1" applyFill="1" applyBorder="1" applyAlignment="1">
      <alignment horizontal="left" vertical="top" wrapText="1"/>
    </xf>
    <xf numFmtId="0" fontId="5" fillId="0" borderId="89" xfId="0" applyFont="1" applyFill="1" applyBorder="1" applyAlignment="1">
      <alignment horizontal="left" vertical="top" wrapText="1"/>
    </xf>
    <xf numFmtId="165" fontId="25" fillId="0" borderId="97" xfId="0" applyNumberFormat="1" applyFont="1" applyFill="1" applyBorder="1" applyAlignment="1" applyProtection="1">
      <alignment horizontal="right" vertical="top"/>
    </xf>
    <xf numFmtId="0" fontId="8" fillId="0" borderId="46" xfId="0" applyFont="1" applyFill="1" applyBorder="1" applyAlignment="1">
      <alignment horizontal="left" vertical="top" wrapText="1"/>
    </xf>
    <xf numFmtId="165" fontId="23" fillId="0" borderId="73" xfId="0" applyNumberFormat="1" applyFont="1" applyFill="1" applyBorder="1" applyAlignment="1" applyProtection="1">
      <alignment horizontal="right" vertical="top"/>
    </xf>
    <xf numFmtId="165" fontId="25" fillId="0" borderId="73" xfId="0" applyNumberFormat="1" applyFont="1" applyFill="1" applyBorder="1" applyAlignment="1" applyProtection="1">
      <alignment horizontal="right" vertical="center"/>
    </xf>
    <xf numFmtId="0" fontId="5" fillId="0" borderId="24" xfId="0" applyFont="1" applyFill="1" applyBorder="1" applyAlignment="1">
      <alignment horizontal="left" vertical="center" wrapText="1"/>
    </xf>
    <xf numFmtId="165" fontId="25" fillId="0" borderId="25" xfId="0" applyNumberFormat="1" applyFont="1" applyFill="1" applyBorder="1" applyAlignment="1" applyProtection="1">
      <alignment horizontal="right" vertical="center"/>
    </xf>
    <xf numFmtId="0" fontId="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7" fillId="0" borderId="14" xfId="0" applyFont="1" applyFill="1" applyBorder="1" applyAlignment="1" applyProtection="1">
      <alignment horizontal="center" vertical="center"/>
      <protection locked="0"/>
    </xf>
    <xf numFmtId="0" fontId="7" fillId="0" borderId="15"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56" fillId="0" borderId="81" xfId="7" quotePrefix="1" applyFont="1" applyBorder="1" applyAlignment="1">
      <alignment horizontal="center"/>
    </xf>
    <xf numFmtId="0" fontId="56" fillId="0" borderId="81" xfId="7" applyFont="1" applyBorder="1" applyAlignment="1">
      <alignment horizontal="center"/>
    </xf>
    <xf numFmtId="0" fontId="24" fillId="0" borderId="10" xfId="0" applyNumberFormat="1" applyFont="1" applyFill="1" applyBorder="1" applyAlignment="1" applyProtection="1">
      <alignment horizontal="center" vertical="center"/>
    </xf>
    <xf numFmtId="0" fontId="24" fillId="0" borderId="11" xfId="0" applyNumberFormat="1" applyFont="1" applyFill="1" applyBorder="1" applyAlignment="1" applyProtection="1">
      <alignment horizontal="center" vertical="center"/>
    </xf>
    <xf numFmtId="0" fontId="24" fillId="0" borderId="12" xfId="0" applyNumberFormat="1" applyFont="1" applyFill="1" applyBorder="1" applyAlignment="1" applyProtection="1">
      <alignment horizontal="center" vertical="center"/>
    </xf>
    <xf numFmtId="0" fontId="44" fillId="3" borderId="1" xfId="0" applyFont="1" applyFill="1" applyBorder="1" applyAlignment="1">
      <alignment horizontal="center" vertical="center" wrapText="1"/>
    </xf>
    <xf numFmtId="0" fontId="44" fillId="3" borderId="40" xfId="0" applyFont="1" applyFill="1" applyBorder="1" applyAlignment="1">
      <alignment horizontal="center" vertical="center" wrapText="1"/>
    </xf>
    <xf numFmtId="49" fontId="44" fillId="3" borderId="1" xfId="0" applyNumberFormat="1" applyFont="1" applyFill="1" applyBorder="1" applyAlignment="1" applyProtection="1">
      <alignment horizontal="center" vertical="center" wrapText="1"/>
      <protection locked="0"/>
    </xf>
    <xf numFmtId="49" fontId="44" fillId="3" borderId="40" xfId="0" applyNumberFormat="1" applyFont="1" applyFill="1" applyBorder="1" applyAlignment="1" applyProtection="1">
      <alignment horizontal="center" vertical="center" wrapText="1"/>
      <protection locked="0"/>
    </xf>
    <xf numFmtId="0" fontId="60" fillId="3" borderId="1" xfId="0" applyFont="1" applyFill="1" applyBorder="1" applyAlignment="1">
      <alignment horizontal="center" vertical="center" wrapText="1"/>
    </xf>
    <xf numFmtId="0" fontId="60" fillId="3" borderId="40" xfId="0" applyFont="1" applyFill="1" applyBorder="1" applyAlignment="1">
      <alignment horizontal="center" vertical="center" wrapText="1"/>
    </xf>
    <xf numFmtId="49" fontId="9" fillId="0" borderId="38" xfId="0" applyNumberFormat="1" applyFont="1" applyFill="1" applyBorder="1" applyAlignment="1" applyProtection="1">
      <alignment horizontal="center" vertical="center" wrapText="1"/>
      <protection locked="0"/>
    </xf>
    <xf numFmtId="49" fontId="9" fillId="0" borderId="22" xfId="0" applyNumberFormat="1" applyFont="1" applyFill="1" applyBorder="1" applyAlignment="1" applyProtection="1">
      <alignment horizontal="center" vertical="center" wrapText="1"/>
      <protection locked="0"/>
    </xf>
    <xf numFmtId="49" fontId="9" fillId="0" borderId="18" xfId="0" applyNumberFormat="1" applyFont="1" applyFill="1" applyBorder="1" applyAlignment="1" applyProtection="1">
      <alignment horizontal="center" vertical="center" wrapText="1"/>
      <protection locked="0"/>
    </xf>
    <xf numFmtId="49" fontId="44" fillId="0" borderId="17" xfId="0" applyNumberFormat="1" applyFont="1" applyFill="1" applyBorder="1" applyAlignment="1" applyProtection="1">
      <alignment horizontal="center" vertical="center" wrapText="1"/>
      <protection locked="0"/>
    </xf>
    <xf numFmtId="49" fontId="44" fillId="0" borderId="19" xfId="0" applyNumberFormat="1" applyFont="1" applyFill="1" applyBorder="1" applyAlignment="1" applyProtection="1">
      <alignment horizontal="center" vertical="center" wrapText="1"/>
      <protection locked="0"/>
    </xf>
    <xf numFmtId="49" fontId="7" fillId="0" borderId="39" xfId="0" applyNumberFormat="1" applyFont="1" applyFill="1" applyBorder="1" applyAlignment="1" applyProtection="1">
      <alignment horizontal="center" vertical="center" wrapText="1"/>
      <protection locked="0"/>
    </xf>
    <xf numFmtId="49" fontId="7" fillId="0" borderId="15"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49" fontId="9" fillId="0" borderId="17" xfId="0" applyNumberFormat="1" applyFont="1" applyFill="1" applyBorder="1" applyAlignment="1" applyProtection="1">
      <alignment horizontal="center" vertical="center" wrapText="1"/>
      <protection locked="0"/>
    </xf>
    <xf numFmtId="49" fontId="9" fillId="0" borderId="19" xfId="0" applyNumberFormat="1" applyFont="1" applyFill="1" applyBorder="1" applyAlignment="1" applyProtection="1">
      <alignment horizontal="center" vertical="center" wrapText="1"/>
      <protection locked="0"/>
    </xf>
    <xf numFmtId="49" fontId="60" fillId="3" borderId="1" xfId="0" applyNumberFormat="1" applyFont="1" applyFill="1" applyBorder="1" applyAlignment="1" applyProtection="1">
      <alignment horizontal="center" vertical="center" wrapText="1"/>
      <protection locked="0"/>
    </xf>
    <xf numFmtId="49" fontId="60" fillId="3" borderId="40" xfId="0" applyNumberFormat="1" applyFont="1" applyFill="1" applyBorder="1" applyAlignment="1" applyProtection="1">
      <alignment horizontal="center" vertical="center" wrapText="1"/>
      <protection locked="0"/>
    </xf>
    <xf numFmtId="49" fontId="44" fillId="0" borderId="8" xfId="0" applyNumberFormat="1" applyFont="1" applyFill="1" applyBorder="1" applyAlignment="1" applyProtection="1">
      <alignment horizontal="center" vertical="center" wrapText="1"/>
      <protection locked="0"/>
    </xf>
    <xf numFmtId="49" fontId="44" fillId="0" borderId="2" xfId="0" applyNumberFormat="1"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protection locked="0"/>
    </xf>
    <xf numFmtId="49" fontId="8" fillId="0" borderId="37" xfId="0" applyNumberFormat="1" applyFont="1" applyFill="1" applyBorder="1" applyAlignment="1" applyProtection="1">
      <alignment horizontal="center" vertical="center" wrapText="1"/>
      <protection locked="0"/>
    </xf>
    <xf numFmtId="49" fontId="8" fillId="0" borderId="26" xfId="0" applyNumberFormat="1" applyFont="1" applyFill="1" applyBorder="1" applyAlignment="1" applyProtection="1">
      <alignment horizontal="center" vertical="center" wrapText="1"/>
      <protection locked="0"/>
    </xf>
    <xf numFmtId="49" fontId="8" fillId="0" borderId="35" xfId="0" applyNumberFormat="1" applyFont="1" applyFill="1" applyBorder="1" applyAlignment="1" applyProtection="1">
      <alignment horizontal="center" vertical="center" wrapText="1"/>
      <protection locked="0"/>
    </xf>
    <xf numFmtId="0" fontId="27" fillId="0" borderId="49" xfId="0" applyFont="1" applyFill="1" applyBorder="1" applyAlignment="1">
      <alignment horizontal="center" vertical="center"/>
    </xf>
    <xf numFmtId="0" fontId="27" fillId="0" borderId="50" xfId="0" applyFont="1" applyFill="1" applyBorder="1" applyAlignment="1">
      <alignment horizontal="center" vertical="center"/>
    </xf>
    <xf numFmtId="0" fontId="27" fillId="0" borderId="51" xfId="0" applyFont="1" applyFill="1" applyBorder="1" applyAlignment="1">
      <alignment horizontal="center" vertical="center"/>
    </xf>
    <xf numFmtId="49" fontId="7" fillId="0" borderId="85" xfId="0" applyNumberFormat="1" applyFont="1" applyFill="1" applyBorder="1" applyAlignment="1" applyProtection="1">
      <alignment horizontal="center" vertical="center" wrapText="1"/>
      <protection locked="0"/>
    </xf>
    <xf numFmtId="49" fontId="3" fillId="0" borderId="13" xfId="0" applyNumberFormat="1" applyFont="1" applyFill="1" applyBorder="1" applyAlignment="1" applyProtection="1">
      <alignment horizontal="center" vertical="center" wrapText="1"/>
      <protection locked="0"/>
    </xf>
    <xf numFmtId="49" fontId="3" fillId="0" borderId="27" xfId="0" applyNumberFormat="1" applyFont="1" applyFill="1" applyBorder="1" applyAlignment="1" applyProtection="1">
      <alignment horizontal="center" vertical="center" wrapText="1"/>
      <protection locked="0"/>
    </xf>
    <xf numFmtId="0" fontId="7" fillId="0" borderId="85" xfId="0" applyFont="1" applyFill="1" applyBorder="1" applyAlignment="1" applyProtection="1">
      <alignment horizontal="center" vertical="center"/>
      <protection locked="0"/>
    </xf>
    <xf numFmtId="49" fontId="32" fillId="0" borderId="25" xfId="0" applyNumberFormat="1" applyFont="1" applyFill="1" applyBorder="1" applyAlignment="1" applyProtection="1">
      <alignment horizontal="center" vertical="center" wrapText="1"/>
      <protection locked="0"/>
    </xf>
    <xf numFmtId="49" fontId="32" fillId="0" borderId="75" xfId="0" applyNumberFormat="1" applyFont="1" applyFill="1" applyBorder="1" applyAlignment="1" applyProtection="1">
      <alignment horizontal="center" vertical="center" wrapText="1"/>
      <protection locked="0"/>
    </xf>
    <xf numFmtId="0" fontId="7" fillId="0" borderId="82" xfId="0" applyFont="1" applyFill="1" applyBorder="1" applyAlignment="1" applyProtection="1">
      <alignment horizontal="center" vertical="center"/>
      <protection locked="0"/>
    </xf>
    <xf numFmtId="49" fontId="8" fillId="0" borderId="83" xfId="0" applyNumberFormat="1" applyFont="1" applyFill="1" applyBorder="1" applyAlignment="1" applyProtection="1">
      <alignment horizontal="center" vertical="center" wrapText="1"/>
      <protection locked="0"/>
    </xf>
    <xf numFmtId="49" fontId="8" fillId="0" borderId="24" xfId="0" applyNumberFormat="1" applyFont="1" applyFill="1" applyBorder="1" applyAlignment="1" applyProtection="1">
      <alignment horizontal="center" vertical="center" wrapText="1"/>
      <protection locked="0"/>
    </xf>
    <xf numFmtId="49" fontId="8" fillId="0" borderId="74" xfId="0" applyNumberFormat="1" applyFont="1" applyFill="1" applyBorder="1" applyAlignment="1" applyProtection="1">
      <alignment horizontal="center" vertical="center" wrapText="1"/>
      <protection locked="0"/>
    </xf>
    <xf numFmtId="49" fontId="10" fillId="0" borderId="85" xfId="0" applyNumberFormat="1" applyFont="1" applyFill="1" applyBorder="1" applyAlignment="1" applyProtection="1">
      <alignment horizontal="center" vertical="center" wrapText="1"/>
      <protection locked="0"/>
    </xf>
    <xf numFmtId="49" fontId="10" fillId="0" borderId="13" xfId="0" applyNumberFormat="1" applyFont="1" applyFill="1" applyBorder="1" applyAlignment="1" applyProtection="1">
      <alignment horizontal="center" vertical="center" wrapText="1"/>
      <protection locked="0"/>
    </xf>
    <xf numFmtId="0" fontId="56" fillId="0" borderId="34" xfId="14" applyFont="1" applyBorder="1" applyAlignment="1">
      <alignment horizontal="center" vertical="center"/>
    </xf>
    <xf numFmtId="0" fontId="38" fillId="0" borderId="79" xfId="14" applyFont="1" applyBorder="1" applyAlignment="1"/>
    <xf numFmtId="0" fontId="38" fillId="0" borderId="36" xfId="14" applyFont="1" applyBorder="1" applyAlignment="1"/>
    <xf numFmtId="0" fontId="23" fillId="13" borderId="58" xfId="0" applyFont="1" applyFill="1" applyBorder="1" applyAlignment="1">
      <alignment horizontal="center" vertical="center" wrapText="1"/>
    </xf>
    <xf numFmtId="0" fontId="23" fillId="13" borderId="70" xfId="0" applyFont="1" applyFill="1" applyBorder="1" applyAlignment="1">
      <alignment horizontal="center" vertical="center" wrapText="1"/>
    </xf>
    <xf numFmtId="0" fontId="23" fillId="13" borderId="60" xfId="0" applyFont="1" applyFill="1" applyBorder="1" applyAlignment="1">
      <alignment horizontal="center" vertical="center" wrapText="1"/>
    </xf>
    <xf numFmtId="0" fontId="23" fillId="13" borderId="45" xfId="0" applyFont="1" applyFill="1" applyBorder="1" applyAlignment="1">
      <alignment horizontal="center" vertical="center" wrapText="1"/>
    </xf>
    <xf numFmtId="0" fontId="23" fillId="13" borderId="81" xfId="0" applyFont="1" applyFill="1" applyBorder="1" applyAlignment="1">
      <alignment horizontal="center" vertical="center" wrapText="1"/>
    </xf>
    <xf numFmtId="0" fontId="23" fillId="13" borderId="43" xfId="0" applyFont="1" applyFill="1" applyBorder="1" applyAlignment="1">
      <alignment horizontal="center" vertical="center" wrapText="1"/>
    </xf>
    <xf numFmtId="0" fontId="56" fillId="0" borderId="34" xfId="14" applyFont="1" applyFill="1" applyBorder="1" applyAlignment="1">
      <alignment horizontal="center" vertical="center" wrapText="1"/>
    </xf>
    <xf numFmtId="0" fontId="56" fillId="0" borderId="79" xfId="14" applyFont="1" applyFill="1" applyBorder="1" applyAlignment="1">
      <alignment horizontal="center" vertical="center" wrapText="1"/>
    </xf>
    <xf numFmtId="0" fontId="56" fillId="0" borderId="36" xfId="14" applyFont="1" applyFill="1" applyBorder="1" applyAlignment="1">
      <alignment horizontal="center" vertical="center" wrapText="1"/>
    </xf>
    <xf numFmtId="0" fontId="23" fillId="0" borderId="0" xfId="0" applyFont="1" applyAlignment="1">
      <alignment horizontal="center" wrapText="1"/>
    </xf>
    <xf numFmtId="0" fontId="23" fillId="0" borderId="0" xfId="0" applyFont="1" applyAlignment="1">
      <alignment horizontal="center"/>
    </xf>
    <xf numFmtId="0" fontId="25" fillId="0" borderId="0" xfId="0" applyFont="1" applyAlignment="1">
      <alignment horizontal="center"/>
    </xf>
    <xf numFmtId="0" fontId="38" fillId="0" borderId="13" xfId="14" applyFont="1" applyBorder="1" applyAlignment="1">
      <alignment horizontal="center" vertical="center" wrapText="1"/>
    </xf>
    <xf numFmtId="0" fontId="56" fillId="0" borderId="13" xfId="14" applyFont="1" applyBorder="1" applyAlignment="1">
      <alignment horizontal="center" vertical="center" wrapText="1"/>
    </xf>
    <xf numFmtId="0" fontId="38" fillId="0" borderId="27" xfId="14" applyFont="1" applyBorder="1" applyAlignment="1">
      <alignment horizontal="center" vertical="center" wrapText="1"/>
    </xf>
    <xf numFmtId="0" fontId="38" fillId="0" borderId="44" xfId="14" applyFont="1" applyBorder="1" applyAlignment="1">
      <alignment horizontal="center" vertical="center" wrapText="1"/>
    </xf>
    <xf numFmtId="0" fontId="23" fillId="0" borderId="0" xfId="0" applyFont="1" applyFill="1" applyAlignment="1">
      <alignment horizontal="center" vertical="center" wrapText="1"/>
    </xf>
    <xf numFmtId="0" fontId="27" fillId="0" borderId="0" xfId="0" applyFont="1" applyAlignment="1">
      <alignment horizontal="center" wrapText="1"/>
    </xf>
    <xf numFmtId="1" fontId="26" fillId="0" borderId="13" xfId="0" applyNumberFormat="1" applyFont="1" applyFill="1" applyBorder="1" applyAlignment="1">
      <alignment horizontal="center" vertical="center" wrapText="1"/>
    </xf>
    <xf numFmtId="1" fontId="25" fillId="0" borderId="34" xfId="0" applyNumberFormat="1" applyFont="1" applyFill="1" applyBorder="1" applyAlignment="1">
      <alignment horizontal="center" vertical="center" wrapText="1"/>
    </xf>
    <xf numFmtId="1" fontId="25" fillId="0" borderId="36" xfId="0" applyNumberFormat="1" applyFont="1" applyFill="1" applyBorder="1" applyAlignment="1">
      <alignment horizontal="center" vertical="center" wrapText="1"/>
    </xf>
    <xf numFmtId="1" fontId="26" fillId="0" borderId="34" xfId="0" applyNumberFormat="1" applyFont="1" applyFill="1" applyBorder="1" applyAlignment="1">
      <alignment horizontal="center" vertical="center" wrapText="1"/>
    </xf>
    <xf numFmtId="1" fontId="26" fillId="0" borderId="79" xfId="0" applyNumberFormat="1" applyFont="1" applyFill="1" applyBorder="1" applyAlignment="1">
      <alignment horizontal="center" vertical="center" wrapText="1"/>
    </xf>
    <xf numFmtId="1" fontId="26" fillId="0" borderId="36" xfId="0" applyNumberFormat="1" applyFont="1" applyFill="1" applyBorder="1" applyAlignment="1">
      <alignment horizontal="center" vertical="center" wrapText="1"/>
    </xf>
    <xf numFmtId="1" fontId="23" fillId="0" borderId="34" xfId="0" applyNumberFormat="1" applyFont="1" applyFill="1" applyBorder="1" applyAlignment="1">
      <alignment horizontal="center" vertical="center" wrapText="1"/>
    </xf>
    <xf numFmtId="1" fontId="23" fillId="0" borderId="36" xfId="0" applyNumberFormat="1" applyFont="1" applyFill="1" applyBorder="1" applyAlignment="1">
      <alignment horizontal="center" vertical="center" wrapText="1"/>
    </xf>
    <xf numFmtId="0" fontId="49" fillId="0" borderId="27" xfId="10" quotePrefix="1" applyFont="1" applyBorder="1" applyAlignment="1">
      <alignment horizontal="center" vertical="center" wrapText="1"/>
    </xf>
    <xf numFmtId="0" fontId="49" fillId="0" borderId="68" xfId="10" quotePrefix="1" applyFont="1" applyBorder="1" applyAlignment="1">
      <alignment horizontal="center" vertical="center" wrapText="1"/>
    </xf>
    <xf numFmtId="0" fontId="49" fillId="0" borderId="44" xfId="10" quotePrefix="1" applyFont="1" applyBorder="1" applyAlignment="1">
      <alignment horizontal="center" vertical="center" wrapText="1"/>
    </xf>
    <xf numFmtId="0" fontId="49" fillId="0" borderId="58" xfId="10" quotePrefix="1" applyFont="1" applyBorder="1" applyAlignment="1">
      <alignment horizontal="center" vertical="center" wrapText="1"/>
    </xf>
    <xf numFmtId="0" fontId="49" fillId="0" borderId="80" xfId="10" quotePrefix="1" applyFont="1" applyBorder="1" applyAlignment="1">
      <alignment horizontal="center" vertical="center" wrapText="1"/>
    </xf>
    <xf numFmtId="0" fontId="49" fillId="0" borderId="45" xfId="10" quotePrefix="1" applyFont="1" applyBorder="1" applyAlignment="1">
      <alignment horizontal="center" vertical="center" wrapText="1"/>
    </xf>
    <xf numFmtId="0" fontId="49" fillId="0" borderId="34" xfId="8" applyFont="1" applyBorder="1" applyAlignment="1">
      <alignment horizontal="center" vertical="center" wrapText="1"/>
    </xf>
    <xf numFmtId="0" fontId="49" fillId="0" borderId="36" xfId="8" applyFont="1" applyBorder="1" applyAlignment="1">
      <alignment horizontal="center" vertical="center" wrapText="1"/>
    </xf>
    <xf numFmtId="0" fontId="49" fillId="0" borderId="27" xfId="8" applyFont="1" applyBorder="1" applyAlignment="1">
      <alignment horizontal="center" vertical="center"/>
    </xf>
    <xf numFmtId="0" fontId="49" fillId="0" borderId="44" xfId="8" applyFont="1" applyBorder="1" applyAlignment="1">
      <alignment horizontal="center" vertical="center"/>
    </xf>
    <xf numFmtId="0" fontId="23" fillId="0" borderId="34" xfId="0" applyFont="1" applyBorder="1" applyAlignment="1">
      <alignment horizontal="center"/>
    </xf>
    <xf numFmtId="0" fontId="23" fillId="0" borderId="36" xfId="0" applyFont="1" applyBorder="1" applyAlignment="1">
      <alignment horizontal="center"/>
    </xf>
    <xf numFmtId="1" fontId="25" fillId="0" borderId="27" xfId="0" applyNumberFormat="1" applyFont="1" applyFill="1" applyBorder="1" applyAlignment="1">
      <alignment horizontal="center" vertical="center" wrapText="1"/>
    </xf>
    <xf numFmtId="1" fontId="25" fillId="0" borderId="68" xfId="0" applyNumberFormat="1" applyFont="1" applyFill="1" applyBorder="1" applyAlignment="1">
      <alignment horizontal="center" vertical="center" wrapText="1"/>
    </xf>
    <xf numFmtId="1" fontId="25" fillId="0" borderId="44" xfId="0" applyNumberFormat="1" applyFont="1" applyFill="1" applyBorder="1" applyAlignment="1">
      <alignment horizontal="center" vertical="center" wrapText="1"/>
    </xf>
    <xf numFmtId="1" fontId="25" fillId="0" borderId="13" xfId="0" applyNumberFormat="1" applyFont="1" applyFill="1" applyBorder="1" applyAlignment="1">
      <alignment horizontal="center" vertical="center" wrapText="1"/>
    </xf>
    <xf numFmtId="2" fontId="23" fillId="0" borderId="34" xfId="0" applyNumberFormat="1" applyFont="1" applyFill="1" applyBorder="1" applyAlignment="1">
      <alignment horizontal="center" vertical="center" wrapText="1"/>
    </xf>
    <xf numFmtId="2" fontId="23" fillId="0" borderId="36" xfId="0" applyNumberFormat="1" applyFont="1" applyFill="1" applyBorder="1" applyAlignment="1">
      <alignment horizontal="center" vertical="center" wrapText="1"/>
    </xf>
    <xf numFmtId="0" fontId="48" fillId="0" borderId="0" xfId="0" applyNumberFormat="1" applyFont="1" applyFill="1" applyBorder="1" applyAlignment="1" applyProtection="1">
      <alignment horizontal="center" vertical="center"/>
    </xf>
    <xf numFmtId="49" fontId="25" fillId="0" borderId="13" xfId="0" applyNumberFormat="1" applyFont="1" applyFill="1" applyBorder="1" applyAlignment="1">
      <alignment horizontal="center" vertical="center" wrapText="1"/>
    </xf>
    <xf numFmtId="0" fontId="49" fillId="0" borderId="34" xfId="6" applyFont="1" applyBorder="1" applyAlignment="1">
      <alignment horizontal="center" vertical="center" wrapText="1"/>
    </xf>
    <xf numFmtId="0" fontId="49" fillId="0" borderId="36" xfId="6" applyFont="1" applyBorder="1" applyAlignment="1">
      <alignment horizontal="center" vertical="center" wrapText="1"/>
    </xf>
    <xf numFmtId="0" fontId="49" fillId="0" borderId="34" xfId="0" applyFont="1" applyBorder="1" applyAlignment="1">
      <alignment horizontal="center" vertical="center" wrapText="1"/>
    </xf>
    <xf numFmtId="0" fontId="49" fillId="0" borderId="36" xfId="0" applyFont="1" applyBorder="1" applyAlignment="1">
      <alignment horizontal="center" vertical="center" wrapText="1"/>
    </xf>
    <xf numFmtId="0" fontId="49" fillId="0" borderId="34" xfId="7" applyFont="1" applyBorder="1" applyAlignment="1">
      <alignment horizontal="center" vertical="center" wrapText="1"/>
    </xf>
    <xf numFmtId="0" fontId="49" fillId="0" borderId="36" xfId="7" applyFont="1" applyBorder="1" applyAlignment="1">
      <alignment horizontal="center" vertical="center" wrapText="1"/>
    </xf>
    <xf numFmtId="0" fontId="0" fillId="0" borderId="44" xfId="0" applyBorder="1"/>
    <xf numFmtId="0" fontId="49" fillId="0" borderId="34" xfId="6" applyNumberFormat="1" applyFont="1" applyBorder="1" applyAlignment="1">
      <alignment horizontal="center" vertical="center" wrapText="1"/>
    </xf>
    <xf numFmtId="0" fontId="49" fillId="0" borderId="36" xfId="6" applyNumberFormat="1" applyFont="1" applyBorder="1" applyAlignment="1">
      <alignment horizontal="center" vertical="center" wrapText="1"/>
    </xf>
    <xf numFmtId="0" fontId="47" fillId="0" borderId="0" xfId="0" applyFont="1" applyBorder="1" applyAlignment="1">
      <alignment horizontal="left"/>
    </xf>
    <xf numFmtId="0" fontId="17" fillId="0" borderId="0" xfId="0" applyFont="1" applyBorder="1" applyAlignment="1">
      <alignment horizontal="left"/>
    </xf>
    <xf numFmtId="0" fontId="25" fillId="0" borderId="34" xfId="0" applyFont="1" applyFill="1" applyBorder="1" applyAlignment="1">
      <alignment horizontal="center" vertical="center" wrapText="1"/>
    </xf>
    <xf numFmtId="0" fontId="25" fillId="0" borderId="36" xfId="0" applyFont="1" applyFill="1" applyBorder="1" applyAlignment="1">
      <alignment horizontal="center" vertical="center" wrapText="1"/>
    </xf>
    <xf numFmtId="0" fontId="56" fillId="0" borderId="0" xfId="7" quotePrefix="1" applyFont="1" applyBorder="1" applyAlignment="1">
      <alignment horizontal="center"/>
    </xf>
    <xf numFmtId="0" fontId="56" fillId="0" borderId="0" xfId="7" applyFont="1" applyBorder="1" applyAlignment="1">
      <alignment horizontal="center"/>
    </xf>
    <xf numFmtId="3" fontId="17" fillId="0" borderId="13" xfId="0" applyNumberFormat="1" applyFont="1" applyBorder="1" applyAlignment="1">
      <alignment horizontal="center" vertical="center" wrapText="1"/>
    </xf>
    <xf numFmtId="3" fontId="17" fillId="0" borderId="85" xfId="0" applyNumberFormat="1" applyFont="1" applyBorder="1" applyAlignment="1">
      <alignment horizontal="center" vertical="center" wrapText="1"/>
    </xf>
    <xf numFmtId="3" fontId="17" fillId="0" borderId="82" xfId="0" applyNumberFormat="1" applyFont="1" applyBorder="1" applyAlignment="1">
      <alignment horizontal="center" vertical="center" wrapText="1"/>
    </xf>
    <xf numFmtId="0" fontId="17" fillId="0" borderId="85" xfId="0" applyNumberFormat="1" applyFont="1" applyFill="1" applyBorder="1" applyAlignment="1" applyProtection="1">
      <alignment horizontal="center" vertical="center" wrapText="1"/>
    </xf>
    <xf numFmtId="0" fontId="17" fillId="0" borderId="13" xfId="0" applyNumberFormat="1" applyFont="1" applyFill="1" applyBorder="1" applyAlignment="1" applyProtection="1">
      <alignment horizontal="center" vertical="center" wrapText="1"/>
    </xf>
    <xf numFmtId="0" fontId="30" fillId="13" borderId="85" xfId="0" applyFont="1" applyFill="1" applyBorder="1" applyAlignment="1">
      <alignment horizontal="center" vertical="center" wrapText="1"/>
    </xf>
    <xf numFmtId="0" fontId="30" fillId="13" borderId="13" xfId="0" applyFont="1" applyFill="1" applyBorder="1" applyAlignment="1">
      <alignment horizontal="center" vertical="center" wrapText="1"/>
    </xf>
    <xf numFmtId="0" fontId="30" fillId="13" borderId="65" xfId="0" applyFont="1" applyFill="1" applyBorder="1" applyAlignment="1">
      <alignment horizontal="center" vertical="center" wrapText="1"/>
    </xf>
    <xf numFmtId="0" fontId="17" fillId="9" borderId="85"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32" fillId="0" borderId="8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65"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65" xfId="0" applyFont="1" applyBorder="1" applyAlignment="1">
      <alignment horizontal="center" vertical="center" wrapText="1"/>
    </xf>
    <xf numFmtId="0" fontId="55" fillId="0" borderId="83" xfId="0" applyNumberFormat="1" applyFont="1" applyFill="1" applyBorder="1" applyAlignment="1" applyProtection="1">
      <alignment horizontal="center" vertical="center" wrapText="1"/>
    </xf>
    <xf numFmtId="0" fontId="55" fillId="0" borderId="24" xfId="0" applyNumberFormat="1" applyFont="1" applyFill="1" applyBorder="1" applyAlignment="1" applyProtection="1">
      <alignment horizontal="center" vertical="center" wrapText="1"/>
    </xf>
    <xf numFmtId="0" fontId="55" fillId="0" borderId="87" xfId="0" applyNumberFormat="1" applyFont="1" applyFill="1" applyBorder="1" applyAlignment="1" applyProtection="1">
      <alignment horizontal="center" vertical="center" wrapText="1"/>
    </xf>
    <xf numFmtId="0" fontId="55" fillId="0" borderId="84" xfId="0" applyFont="1" applyBorder="1" applyAlignment="1">
      <alignment horizontal="center" vertical="center" wrapText="1"/>
    </xf>
    <xf numFmtId="0" fontId="55" fillId="0" borderId="34" xfId="0" applyFont="1" applyBorder="1" applyAlignment="1">
      <alignment horizontal="center" vertical="center" wrapText="1"/>
    </xf>
    <xf numFmtId="0" fontId="55" fillId="0" borderId="88" xfId="0" applyFont="1" applyBorder="1" applyAlignment="1">
      <alignment horizontal="center" vertical="center" wrapText="1"/>
    </xf>
    <xf numFmtId="0" fontId="61" fillId="0" borderId="85" xfId="7" applyFont="1" applyBorder="1" applyAlignment="1">
      <alignment horizontal="center" vertical="center" wrapText="1"/>
    </xf>
    <xf numFmtId="0" fontId="61" fillId="0" borderId="13" xfId="7" applyFont="1" applyBorder="1" applyAlignment="1">
      <alignment horizontal="center" vertical="center" wrapText="1"/>
    </xf>
    <xf numFmtId="0" fontId="61" fillId="0" borderId="65" xfId="7" applyFont="1" applyBorder="1" applyAlignment="1">
      <alignment horizontal="center" vertical="center" wrapText="1"/>
    </xf>
    <xf numFmtId="0" fontId="17" fillId="0" borderId="25" xfId="0" applyFont="1" applyBorder="1" applyAlignment="1">
      <alignment horizontal="center" vertical="center" wrapText="1"/>
    </xf>
    <xf numFmtId="0" fontId="18" fillId="0" borderId="24" xfId="25" quotePrefix="1" applyFont="1" applyBorder="1" applyAlignment="1">
      <alignment horizontal="center" vertical="center" wrapText="1"/>
    </xf>
    <xf numFmtId="0" fontId="18" fillId="0" borderId="74" xfId="25" quotePrefix="1" applyFont="1" applyBorder="1" applyAlignment="1">
      <alignment horizontal="center" vertical="center" wrapText="1"/>
    </xf>
    <xf numFmtId="4" fontId="18" fillId="0" borderId="24" xfId="27" quotePrefix="1" applyNumberFormat="1" applyFont="1" applyBorder="1" applyAlignment="1">
      <alignment horizontal="center" vertical="center" wrapText="1"/>
    </xf>
    <xf numFmtId="4" fontId="18" fillId="0" borderId="74" xfId="27" quotePrefix="1" applyNumberFormat="1" applyFont="1" applyBorder="1" applyAlignment="1">
      <alignment horizontal="center" vertical="center" wrapText="1"/>
    </xf>
    <xf numFmtId="0" fontId="18" fillId="0" borderId="13"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38" fillId="0" borderId="24" xfId="7" quotePrefix="1" applyFont="1" applyBorder="1" applyAlignment="1">
      <alignment horizontal="center" vertical="center" wrapText="1"/>
    </xf>
    <xf numFmtId="4" fontId="38" fillId="0" borderId="24" xfId="7" quotePrefix="1" applyNumberFormat="1" applyFont="1" applyBorder="1" applyAlignment="1">
      <alignment horizontal="center" vertical="center" wrapText="1"/>
    </xf>
    <xf numFmtId="49" fontId="18" fillId="0" borderId="27" xfId="25" applyNumberFormat="1" applyFont="1" applyBorder="1" applyAlignment="1">
      <alignment horizontal="center" vertical="center" wrapText="1"/>
    </xf>
    <xf numFmtId="49" fontId="18" fillId="0" borderId="91" xfId="25" quotePrefix="1" applyNumberFormat="1" applyFont="1" applyBorder="1" applyAlignment="1">
      <alignment horizontal="center" vertical="center" wrapText="1"/>
    </xf>
    <xf numFmtId="49" fontId="18" fillId="0" borderId="58" xfId="25" applyNumberFormat="1" applyFont="1" applyBorder="1" applyAlignment="1">
      <alignment horizontal="center" vertical="center" wrapText="1"/>
    </xf>
    <xf numFmtId="49" fontId="18" fillId="0" borderId="93" xfId="25" quotePrefix="1" applyNumberFormat="1" applyFont="1" applyBorder="1" applyAlignment="1">
      <alignment horizontal="center" vertical="center" wrapText="1"/>
    </xf>
    <xf numFmtId="49" fontId="38" fillId="0" borderId="27" xfId="7" applyNumberFormat="1" applyFont="1" applyBorder="1" applyAlignment="1">
      <alignment horizontal="center" vertical="center" wrapText="1"/>
    </xf>
    <xf numFmtId="49" fontId="38" fillId="0" borderId="44" xfId="7" quotePrefix="1" applyNumberFormat="1" applyFont="1" applyBorder="1" applyAlignment="1">
      <alignment horizontal="center" vertical="center" wrapText="1"/>
    </xf>
    <xf numFmtId="49" fontId="38" fillId="0" borderId="58" xfId="7" applyNumberFormat="1" applyFont="1" applyBorder="1" applyAlignment="1">
      <alignment horizontal="center" vertical="center" wrapText="1"/>
    </xf>
    <xf numFmtId="49" fontId="38" fillId="0" borderId="45" xfId="7" quotePrefix="1" applyNumberFormat="1" applyFont="1" applyBorder="1" applyAlignment="1">
      <alignment horizontal="center" vertical="center" wrapText="1"/>
    </xf>
    <xf numFmtId="0" fontId="18" fillId="0" borderId="74" xfId="16" quotePrefix="1" applyFont="1" applyBorder="1" applyAlignment="1">
      <alignment horizontal="center" vertical="center" wrapText="1"/>
    </xf>
    <xf numFmtId="0" fontId="18" fillId="0" borderId="46" xfId="16" quotePrefix="1" applyFont="1" applyBorder="1" applyAlignment="1">
      <alignment horizontal="center" vertical="center" wrapText="1"/>
    </xf>
    <xf numFmtId="4" fontId="18" fillId="0" borderId="74" xfId="16" quotePrefix="1" applyNumberFormat="1" applyFont="1" applyBorder="1" applyAlignment="1">
      <alignment horizontal="center" vertical="center" wrapText="1"/>
    </xf>
    <xf numFmtId="4" fontId="18" fillId="0" borderId="46" xfId="16" quotePrefix="1" applyNumberFormat="1" applyFont="1" applyBorder="1" applyAlignment="1">
      <alignment horizontal="center" vertical="center" wrapText="1"/>
    </xf>
    <xf numFmtId="0" fontId="18" fillId="0" borderId="74" xfId="27" quotePrefix="1" applyFont="1" applyBorder="1" applyAlignment="1">
      <alignment horizontal="center" vertical="center" wrapText="1"/>
    </xf>
    <xf numFmtId="0" fontId="18" fillId="0" borderId="46" xfId="27" quotePrefix="1" applyFont="1" applyBorder="1" applyAlignment="1">
      <alignment horizontal="center" vertical="center" wrapText="1"/>
    </xf>
    <xf numFmtId="4" fontId="18" fillId="0" borderId="46" xfId="27" quotePrefix="1" applyNumberFormat="1" applyFont="1" applyBorder="1" applyAlignment="1">
      <alignment horizontal="center" vertical="center" wrapText="1"/>
    </xf>
    <xf numFmtId="0" fontId="18" fillId="0" borderId="58" xfId="0" applyFont="1" applyFill="1" applyBorder="1" applyAlignment="1">
      <alignment horizontal="center" vertical="center" wrapText="1"/>
    </xf>
    <xf numFmtId="0" fontId="18" fillId="0" borderId="45" xfId="0" applyFont="1" applyFill="1" applyBorder="1" applyAlignment="1">
      <alignment horizontal="center" vertical="center" wrapText="1"/>
    </xf>
    <xf numFmtId="49" fontId="18" fillId="0" borderId="27" xfId="27" applyNumberFormat="1" applyFont="1" applyBorder="1" applyAlignment="1">
      <alignment horizontal="center" vertical="center" wrapText="1"/>
    </xf>
    <xf numFmtId="49" fontId="18" fillId="0" borderId="44" xfId="27" quotePrefix="1" applyNumberFormat="1" applyFont="1" applyBorder="1" applyAlignment="1">
      <alignment horizontal="center" vertical="center" wrapText="1"/>
    </xf>
    <xf numFmtId="49" fontId="18" fillId="0" borderId="58" xfId="27" applyNumberFormat="1" applyFont="1" applyBorder="1" applyAlignment="1">
      <alignment horizontal="center" vertical="center" wrapText="1"/>
    </xf>
    <xf numFmtId="49" fontId="18" fillId="0" borderId="45" xfId="27" quotePrefix="1" applyNumberFormat="1" applyFont="1" applyBorder="1" applyAlignment="1">
      <alignment horizontal="center" vertical="center" wrapText="1"/>
    </xf>
    <xf numFmtId="0" fontId="18" fillId="0" borderId="27" xfId="5" applyFont="1" applyFill="1" applyBorder="1" applyAlignment="1">
      <alignment horizontal="center" vertical="center" wrapText="1"/>
    </xf>
    <xf numFmtId="0" fontId="18" fillId="0" borderId="44" xfId="5" applyFont="1" applyFill="1" applyBorder="1" applyAlignment="1">
      <alignment horizontal="center" vertical="center" wrapText="1"/>
    </xf>
    <xf numFmtId="49" fontId="18" fillId="0" borderId="27" xfId="16" applyNumberFormat="1" applyFont="1" applyBorder="1" applyAlignment="1">
      <alignment horizontal="center" vertical="center" wrapText="1"/>
    </xf>
    <xf numFmtId="49" fontId="18" fillId="0" borderId="44" xfId="16" quotePrefix="1" applyNumberFormat="1" applyFont="1" applyBorder="1" applyAlignment="1">
      <alignment horizontal="center" vertical="center" wrapText="1"/>
    </xf>
    <xf numFmtId="49" fontId="18" fillId="0" borderId="58" xfId="16" applyNumberFormat="1" applyFont="1" applyBorder="1" applyAlignment="1">
      <alignment horizontal="center" vertical="center" wrapText="1"/>
    </xf>
    <xf numFmtId="49" fontId="18" fillId="0" borderId="45" xfId="16" quotePrefix="1" applyNumberFormat="1" applyFont="1" applyBorder="1" applyAlignment="1">
      <alignment horizontal="center" vertical="center" wrapText="1"/>
    </xf>
    <xf numFmtId="0" fontId="18" fillId="0" borderId="68"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8" fillId="0" borderId="74" xfId="24" quotePrefix="1" applyFont="1" applyBorder="1" applyAlignment="1">
      <alignment horizontal="center" vertical="center" wrapText="1"/>
    </xf>
    <xf numFmtId="0" fontId="18" fillId="0" borderId="89" xfId="24" quotePrefix="1" applyFont="1" applyBorder="1" applyAlignment="1">
      <alignment horizontal="center" vertical="center" wrapText="1"/>
    </xf>
    <xf numFmtId="0" fontId="18" fillId="0" borderId="46" xfId="24" quotePrefix="1" applyFont="1" applyBorder="1" applyAlignment="1">
      <alignment horizontal="center" vertical="center" wrapText="1"/>
    </xf>
    <xf numFmtId="4" fontId="18" fillId="0" borderId="74" xfId="24" quotePrefix="1" applyNumberFormat="1" applyFont="1" applyBorder="1" applyAlignment="1">
      <alignment horizontal="center" vertical="center" wrapText="1"/>
    </xf>
    <xf numFmtId="4" fontId="18" fillId="0" borderId="89" xfId="24" quotePrefix="1" applyNumberFormat="1" applyFont="1" applyBorder="1" applyAlignment="1">
      <alignment horizontal="center" vertical="center" wrapText="1"/>
    </xf>
    <xf numFmtId="4" fontId="18" fillId="0" borderId="46" xfId="24" quotePrefix="1" applyNumberFormat="1" applyFont="1" applyBorder="1" applyAlignment="1">
      <alignment horizontal="center" vertical="center" wrapText="1"/>
    </xf>
    <xf numFmtId="49" fontId="18" fillId="0" borderId="27" xfId="24" applyNumberFormat="1" applyFont="1" applyBorder="1" applyAlignment="1">
      <alignment horizontal="center" vertical="center" wrapText="1"/>
    </xf>
    <xf numFmtId="49" fontId="18" fillId="0" borderId="68" xfId="24" quotePrefix="1" applyNumberFormat="1" applyFont="1" applyBorder="1" applyAlignment="1">
      <alignment horizontal="center" vertical="center" wrapText="1"/>
    </xf>
    <xf numFmtId="49" fontId="18" fillId="0" borderId="44" xfId="24" quotePrefix="1" applyNumberFormat="1" applyFont="1" applyBorder="1" applyAlignment="1">
      <alignment horizontal="center" vertical="center" wrapText="1"/>
    </xf>
    <xf numFmtId="49" fontId="18" fillId="0" borderId="58" xfId="24" applyNumberFormat="1" applyFont="1" applyBorder="1" applyAlignment="1">
      <alignment horizontal="center" vertical="center" wrapText="1"/>
    </xf>
    <xf numFmtId="49" fontId="18" fillId="0" borderId="80" xfId="24" quotePrefix="1" applyNumberFormat="1" applyFont="1" applyBorder="1" applyAlignment="1">
      <alignment horizontal="center" vertical="center" wrapText="1"/>
    </xf>
    <xf numFmtId="49" fontId="18" fillId="0" borderId="45" xfId="24" quotePrefix="1" applyNumberFormat="1" applyFont="1" applyBorder="1" applyAlignment="1">
      <alignment horizontal="center" vertical="center" wrapText="1"/>
    </xf>
    <xf numFmtId="0" fontId="27" fillId="0" borderId="0" xfId="0" applyFont="1" applyAlignment="1">
      <alignment horizontal="center" vertical="center" wrapText="1"/>
    </xf>
    <xf numFmtId="49" fontId="18" fillId="0" borderId="68" xfId="16" quotePrefix="1" applyNumberFormat="1" applyFont="1" applyBorder="1" applyAlignment="1">
      <alignment horizontal="center" vertical="center" wrapText="1"/>
    </xf>
    <xf numFmtId="49" fontId="18" fillId="0" borderId="80" xfId="16" quotePrefix="1" applyNumberFormat="1" applyFont="1" applyBorder="1" applyAlignment="1">
      <alignment horizontal="center" vertical="center" wrapText="1"/>
    </xf>
    <xf numFmtId="0" fontId="18" fillId="0" borderId="89" xfId="16" quotePrefix="1" applyFont="1" applyBorder="1" applyAlignment="1">
      <alignment horizontal="center" vertical="center" wrapText="1"/>
    </xf>
    <xf numFmtId="4" fontId="18" fillId="3" borderId="74" xfId="16" quotePrefix="1" applyNumberFormat="1" applyFont="1" applyFill="1" applyBorder="1" applyAlignment="1">
      <alignment horizontal="center" vertical="center" wrapText="1"/>
    </xf>
    <xf numFmtId="4" fontId="18" fillId="3" borderId="89" xfId="16" quotePrefix="1" applyNumberFormat="1" applyFont="1" applyFill="1" applyBorder="1" applyAlignment="1">
      <alignment horizontal="center" vertical="center" wrapText="1"/>
    </xf>
    <xf numFmtId="4" fontId="18" fillId="3" borderId="46" xfId="16" quotePrefix="1" applyNumberFormat="1" applyFont="1" applyFill="1" applyBorder="1" applyAlignment="1">
      <alignment horizontal="center" vertical="center" wrapText="1"/>
    </xf>
    <xf numFmtId="0" fontId="17" fillId="0" borderId="81" xfId="0" applyFont="1" applyBorder="1" applyAlignment="1">
      <alignment horizontal="center"/>
    </xf>
    <xf numFmtId="0" fontId="17" fillId="0" borderId="70" xfId="0" applyFont="1" applyBorder="1" applyAlignment="1">
      <alignment horizontal="center"/>
    </xf>
    <xf numFmtId="4" fontId="63" fillId="0" borderId="34" xfId="32" quotePrefix="1" applyNumberFormat="1" applyFont="1" applyBorder="1" applyAlignment="1">
      <alignment horizontal="left" vertical="center" wrapText="1"/>
    </xf>
    <xf numFmtId="4" fontId="63" fillId="0" borderId="36" xfId="32" quotePrefix="1" applyNumberFormat="1" applyFont="1" applyBorder="1" applyAlignment="1">
      <alignment horizontal="left" vertical="center" wrapText="1"/>
    </xf>
  </cellXfs>
  <cellStyles count="35">
    <cellStyle name="Звичайний 2" xfId="4"/>
    <cellStyle name="Обычный" xfId="0" builtinId="0"/>
    <cellStyle name="Обычный 10 2 2 2" xfId="9"/>
    <cellStyle name="Обычный 11" xfId="11"/>
    <cellStyle name="Обычный 11 2" xfId="24"/>
    <cellStyle name="Обычный 12 2" xfId="25"/>
    <cellStyle name="Обычный 13" xfId="10"/>
    <cellStyle name="Обычный 14 2" xfId="27"/>
    <cellStyle name="Обычный 15 2" xfId="31"/>
    <cellStyle name="Обычный 17" xfId="21"/>
    <cellStyle name="Обычный 2" xfId="1"/>
    <cellStyle name="Обычный 2 2" xfId="2"/>
    <cellStyle name="Обычный 2 2 2" xfId="16"/>
    <cellStyle name="Обычный 20" xfId="20"/>
    <cellStyle name="Обычный 21" xfId="8"/>
    <cellStyle name="Обычный 24" xfId="7"/>
    <cellStyle name="Обычный 26" xfId="19"/>
    <cellStyle name="Обычный 27" xfId="30"/>
    <cellStyle name="Обычный 3" xfId="3"/>
    <cellStyle name="Обычный 30" xfId="12"/>
    <cellStyle name="Обычный 31" xfId="23"/>
    <cellStyle name="Обычный 32" xfId="32"/>
    <cellStyle name="Обычный 37" xfId="26"/>
    <cellStyle name="Обычный 39" xfId="22"/>
    <cellStyle name="Обычный 43" xfId="6"/>
    <cellStyle name="Обычный 46" xfId="18"/>
    <cellStyle name="Обычный 5 2" xfId="17"/>
    <cellStyle name="Обычный 52" xfId="14"/>
    <cellStyle name="Обычный 54" xfId="34"/>
    <cellStyle name="Обычный 6" xfId="15"/>
    <cellStyle name="Обычный 6 2" xfId="28"/>
    <cellStyle name="Обычный 60" xfId="33"/>
    <cellStyle name="Обычный 9" xfId="13"/>
    <cellStyle name="Обычный 9 2" xfId="29"/>
    <cellStyle name="Хороший" xfId="5"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3076575</xdr:colOff>
      <xdr:row>166</xdr:row>
      <xdr:rowOff>0</xdr:rowOff>
    </xdr:from>
    <xdr:to>
      <xdr:col>1</xdr:col>
      <xdr:colOff>0</xdr:colOff>
      <xdr:row>166</xdr:row>
      <xdr:rowOff>19050</xdr:rowOff>
    </xdr:to>
    <xdr:sp macro="" textlink="">
      <xdr:nvSpPr>
        <xdr:cNvPr id="2" name="Text Box 1">
          <a:extLst>
            <a:ext uri="{FF2B5EF4-FFF2-40B4-BE49-F238E27FC236}">
              <a16:creationId xmlns:a16="http://schemas.microsoft.com/office/drawing/2014/main" xmlns="" id="{00000000-0008-0000-0100-000002000000}"/>
            </a:ext>
          </a:extLst>
        </xdr:cNvPr>
        <xdr:cNvSpPr txBox="1">
          <a:spLocks noChangeArrowheads="1"/>
        </xdr:cNvSpPr>
      </xdr:nvSpPr>
      <xdr:spPr bwMode="auto">
        <a:xfrm>
          <a:off x="3228975" y="98126550"/>
          <a:ext cx="457200" cy="447675"/>
        </a:xfrm>
        <a:prstGeom prst="rect">
          <a:avLst/>
        </a:prstGeom>
        <a:noFill/>
        <a:ln w="9525" cap="flat">
          <a:noFill/>
          <a:round/>
          <a:headEnd/>
          <a:tailEnd/>
        </a:ln>
        <a:effectLst/>
      </xdr:spPr>
    </xdr:sp>
    <xdr:clientData/>
  </xdr:twoCellAnchor>
  <xdr:twoCellAnchor>
    <xdr:from>
      <xdr:col>0</xdr:col>
      <xdr:colOff>3076575</xdr:colOff>
      <xdr:row>166</xdr:row>
      <xdr:rowOff>0</xdr:rowOff>
    </xdr:from>
    <xdr:to>
      <xdr:col>1</xdr:col>
      <xdr:colOff>0</xdr:colOff>
      <xdr:row>166</xdr:row>
      <xdr:rowOff>19050</xdr:rowOff>
    </xdr:to>
    <xdr:sp macro="" textlink="">
      <xdr:nvSpPr>
        <xdr:cNvPr id="3" name="Text Box 2">
          <a:extLst>
            <a:ext uri="{FF2B5EF4-FFF2-40B4-BE49-F238E27FC236}">
              <a16:creationId xmlns:a16="http://schemas.microsoft.com/office/drawing/2014/main" xmlns="" id="{00000000-0008-0000-0100-000003000000}"/>
            </a:ext>
          </a:extLst>
        </xdr:cNvPr>
        <xdr:cNvSpPr txBox="1">
          <a:spLocks noChangeArrowheads="1"/>
        </xdr:cNvSpPr>
      </xdr:nvSpPr>
      <xdr:spPr bwMode="auto">
        <a:xfrm>
          <a:off x="3228975" y="98126550"/>
          <a:ext cx="457200" cy="447675"/>
        </a:xfrm>
        <a:prstGeom prst="rect">
          <a:avLst/>
        </a:prstGeom>
        <a:noFill/>
        <a:ln w="9525" cap="flat">
          <a:noFill/>
          <a:round/>
          <a:headEnd/>
          <a:tailEnd/>
        </a:ln>
        <a:effectLst/>
      </xdr:spPr>
    </xdr:sp>
    <xdr:clientData/>
  </xdr:twoCellAnchor>
  <xdr:twoCellAnchor>
    <xdr:from>
      <xdr:col>0</xdr:col>
      <xdr:colOff>3076575</xdr:colOff>
      <xdr:row>166</xdr:row>
      <xdr:rowOff>0</xdr:rowOff>
    </xdr:from>
    <xdr:to>
      <xdr:col>1</xdr:col>
      <xdr:colOff>0</xdr:colOff>
      <xdr:row>166</xdr:row>
      <xdr:rowOff>19050</xdr:rowOff>
    </xdr:to>
    <xdr:sp macro="" textlink="">
      <xdr:nvSpPr>
        <xdr:cNvPr id="4" name="Text Box 3">
          <a:extLst>
            <a:ext uri="{FF2B5EF4-FFF2-40B4-BE49-F238E27FC236}">
              <a16:creationId xmlns:a16="http://schemas.microsoft.com/office/drawing/2014/main" xmlns="" id="{00000000-0008-0000-0100-000004000000}"/>
            </a:ext>
          </a:extLst>
        </xdr:cNvPr>
        <xdr:cNvSpPr txBox="1">
          <a:spLocks noChangeArrowheads="1"/>
        </xdr:cNvSpPr>
      </xdr:nvSpPr>
      <xdr:spPr bwMode="auto">
        <a:xfrm>
          <a:off x="3228975" y="98126550"/>
          <a:ext cx="457200" cy="447675"/>
        </a:xfrm>
        <a:prstGeom prst="rect">
          <a:avLst/>
        </a:prstGeom>
        <a:noFill/>
        <a:ln w="9525" cap="flat">
          <a:noFill/>
          <a:round/>
          <a:headEnd/>
          <a:tailEnd/>
        </a:ln>
        <a:effectLst/>
      </xdr:spPr>
    </xdr:sp>
    <xdr:clientData/>
  </xdr:twoCellAnchor>
  <xdr:twoCellAnchor>
    <xdr:from>
      <xdr:col>0</xdr:col>
      <xdr:colOff>3076575</xdr:colOff>
      <xdr:row>166</xdr:row>
      <xdr:rowOff>0</xdr:rowOff>
    </xdr:from>
    <xdr:to>
      <xdr:col>1</xdr:col>
      <xdr:colOff>0</xdr:colOff>
      <xdr:row>166</xdr:row>
      <xdr:rowOff>19050</xdr:rowOff>
    </xdr:to>
    <xdr:sp macro="" textlink="">
      <xdr:nvSpPr>
        <xdr:cNvPr id="5" name="Text Box 4">
          <a:extLst>
            <a:ext uri="{FF2B5EF4-FFF2-40B4-BE49-F238E27FC236}">
              <a16:creationId xmlns:a16="http://schemas.microsoft.com/office/drawing/2014/main" xmlns="" id="{00000000-0008-0000-0100-000005000000}"/>
            </a:ext>
          </a:extLst>
        </xdr:cNvPr>
        <xdr:cNvSpPr txBox="1">
          <a:spLocks noChangeArrowheads="1"/>
        </xdr:cNvSpPr>
      </xdr:nvSpPr>
      <xdr:spPr bwMode="auto">
        <a:xfrm>
          <a:off x="3228975" y="98126550"/>
          <a:ext cx="457200" cy="447675"/>
        </a:xfrm>
        <a:prstGeom prst="rect">
          <a:avLst/>
        </a:prstGeom>
        <a:noFill/>
        <a:ln w="9525" cap="flat">
          <a:noFill/>
          <a:round/>
          <a:headEnd/>
          <a:tailEnd/>
        </a:ln>
        <a:effec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143"/>
  <sheetViews>
    <sheetView tabSelected="1" zoomScale="70" zoomScaleNormal="70" zoomScaleSheetLayoutView="72" workbookViewId="0">
      <pane xSplit="2" ySplit="13" topLeftCell="C14" activePane="bottomRight" state="frozen"/>
      <selection pane="topRight" activeCell="D1" sqref="D1"/>
      <selection pane="bottomLeft" activeCell="A9" sqref="A9"/>
      <selection pane="bottomRight" activeCell="I4" sqref="I4"/>
    </sheetView>
  </sheetViews>
  <sheetFormatPr defaultRowHeight="13.2"/>
  <cols>
    <col min="1" max="1" width="52.21875" style="1" customWidth="1"/>
    <col min="2" max="2" width="15" style="2" customWidth="1"/>
    <col min="3" max="4" width="19.21875" style="84" customWidth="1"/>
    <col min="5" max="5" width="13.44140625" style="1" customWidth="1"/>
    <col min="6" max="6" width="19.21875" style="84" customWidth="1"/>
    <col min="7" max="7" width="19.5546875" style="84" customWidth="1"/>
    <col min="8" max="8" width="14.44140625" style="1" customWidth="1"/>
    <col min="9" max="9" width="19.6640625" style="1" customWidth="1"/>
    <col min="10" max="10" width="18.77734375" style="1" customWidth="1"/>
    <col min="11" max="11" width="13.5546875" style="1" customWidth="1"/>
  </cols>
  <sheetData>
    <row r="1" spans="1:11" ht="18">
      <c r="I1" s="604" t="s">
        <v>841</v>
      </c>
    </row>
    <row r="2" spans="1:11" ht="18">
      <c r="A2" s="525"/>
      <c r="B2" s="526"/>
      <c r="C2" s="82"/>
      <c r="I2" s="604" t="s">
        <v>627</v>
      </c>
    </row>
    <row r="3" spans="1:11" ht="18">
      <c r="A3" s="525"/>
      <c r="B3" s="526"/>
      <c r="C3" s="82"/>
      <c r="I3" s="604" t="s">
        <v>868</v>
      </c>
    </row>
    <row r="4" spans="1:11" ht="18">
      <c r="A4" s="3"/>
      <c r="B4" s="4"/>
      <c r="C4" s="82"/>
      <c r="D4" s="82"/>
      <c r="E4" s="3"/>
      <c r="F4" s="85"/>
      <c r="G4" s="85"/>
      <c r="H4" s="5"/>
      <c r="I4" s="5"/>
      <c r="J4" s="5"/>
      <c r="K4" s="19"/>
    </row>
    <row r="5" spans="1:11" ht="23.25" customHeight="1">
      <c r="A5" s="679" t="s">
        <v>839</v>
      </c>
      <c r="B5" s="679"/>
      <c r="C5" s="679"/>
      <c r="D5" s="679"/>
      <c r="E5" s="679"/>
      <c r="F5" s="679"/>
      <c r="G5" s="679"/>
      <c r="H5" s="679"/>
      <c r="I5" s="679"/>
      <c r="J5" s="679"/>
      <c r="K5" s="679"/>
    </row>
    <row r="6" spans="1:11" ht="20.399999999999999">
      <c r="A6" s="680" t="s">
        <v>527</v>
      </c>
      <c r="B6" s="680"/>
      <c r="C6" s="680"/>
      <c r="D6" s="680"/>
      <c r="E6" s="680"/>
      <c r="F6" s="680"/>
      <c r="G6" s="680"/>
      <c r="H6" s="680"/>
      <c r="I6" s="680"/>
      <c r="J6" s="680"/>
      <c r="K6" s="680"/>
    </row>
    <row r="7" spans="1:11" ht="20.399999999999999">
      <c r="A7" s="684" t="s">
        <v>628</v>
      </c>
      <c r="B7" s="684"/>
      <c r="C7" s="502"/>
      <c r="D7" s="502"/>
      <c r="E7" s="502"/>
      <c r="F7" s="502"/>
      <c r="G7" s="502"/>
      <c r="H7" s="502"/>
      <c r="I7" s="502"/>
      <c r="J7" s="502"/>
      <c r="K7" s="502"/>
    </row>
    <row r="8" spans="1:11" ht="20.399999999999999">
      <c r="A8" s="685" t="s">
        <v>545</v>
      </c>
      <c r="B8" s="685"/>
      <c r="C8" s="502"/>
      <c r="D8" s="502"/>
      <c r="E8" s="502"/>
      <c r="F8" s="502"/>
      <c r="G8" s="502"/>
      <c r="H8" s="502"/>
      <c r="I8" s="502"/>
      <c r="J8" s="502"/>
      <c r="K8" s="502"/>
    </row>
    <row r="9" spans="1:11" ht="9.4499999999999993" customHeight="1" thickBot="1">
      <c r="A9" s="20"/>
      <c r="B9" s="20"/>
      <c r="C9" s="83"/>
      <c r="D9" s="83"/>
      <c r="E9" s="20"/>
      <c r="F9" s="83"/>
      <c r="G9" s="83"/>
      <c r="H9" s="20"/>
      <c r="I9" s="20"/>
      <c r="J9" s="20"/>
      <c r="K9" s="20"/>
    </row>
    <row r="10" spans="1:11" ht="24" customHeight="1">
      <c r="A10" s="710" t="s">
        <v>0</v>
      </c>
      <c r="B10" s="695" t="s">
        <v>1</v>
      </c>
      <c r="C10" s="700" t="s">
        <v>328</v>
      </c>
      <c r="D10" s="701"/>
      <c r="E10" s="702"/>
      <c r="F10" s="709" t="s">
        <v>3</v>
      </c>
      <c r="G10" s="709"/>
      <c r="H10" s="709"/>
      <c r="I10" s="681" t="s">
        <v>4</v>
      </c>
      <c r="J10" s="682"/>
      <c r="K10" s="683"/>
    </row>
    <row r="11" spans="1:11" ht="21.3" customHeight="1">
      <c r="A11" s="711"/>
      <c r="B11" s="696"/>
      <c r="C11" s="689" t="s">
        <v>849</v>
      </c>
      <c r="D11" s="691" t="s">
        <v>850</v>
      </c>
      <c r="E11" s="698" t="s">
        <v>267</v>
      </c>
      <c r="F11" s="689" t="s">
        <v>849</v>
      </c>
      <c r="G11" s="691" t="s">
        <v>850</v>
      </c>
      <c r="H11" s="707" t="s">
        <v>267</v>
      </c>
      <c r="I11" s="693" t="s">
        <v>849</v>
      </c>
      <c r="J11" s="705" t="s">
        <v>850</v>
      </c>
      <c r="K11" s="703" t="s">
        <v>267</v>
      </c>
    </row>
    <row r="12" spans="1:11" ht="48" customHeight="1" thickBot="1">
      <c r="A12" s="712"/>
      <c r="B12" s="697"/>
      <c r="C12" s="690"/>
      <c r="D12" s="692"/>
      <c r="E12" s="699"/>
      <c r="F12" s="690"/>
      <c r="G12" s="692"/>
      <c r="H12" s="708"/>
      <c r="I12" s="694"/>
      <c r="J12" s="706"/>
      <c r="K12" s="704"/>
    </row>
    <row r="13" spans="1:11" ht="23.4" thickBot="1">
      <c r="A13" s="686" t="s">
        <v>268</v>
      </c>
      <c r="B13" s="687"/>
      <c r="C13" s="687"/>
      <c r="D13" s="687"/>
      <c r="E13" s="687"/>
      <c r="F13" s="687"/>
      <c r="G13" s="687"/>
      <c r="H13" s="687"/>
      <c r="I13" s="687"/>
      <c r="J13" s="687"/>
      <c r="K13" s="688"/>
    </row>
    <row r="14" spans="1:11" s="21" customFormat="1" ht="25.5" customHeight="1" thickBot="1">
      <c r="A14" s="40" t="s">
        <v>5</v>
      </c>
      <c r="B14" s="106" t="s">
        <v>6</v>
      </c>
      <c r="C14" s="169">
        <f>C15+C24+C33+C41</f>
        <v>306501593</v>
      </c>
      <c r="D14" s="169">
        <f>D15+D24+D33+D41</f>
        <v>327378439.22999996</v>
      </c>
      <c r="E14" s="253">
        <f>D14/C14*100</f>
        <v>106.81133367877796</v>
      </c>
      <c r="F14" s="170">
        <f>F16+F24+F33+F41+F60</f>
        <v>553000</v>
      </c>
      <c r="G14" s="170">
        <f>G16+G24+G33+G41+G60</f>
        <v>773516.92</v>
      </c>
      <c r="H14" s="274">
        <f>G14/F14*100</f>
        <v>139.87647739602173</v>
      </c>
      <c r="I14" s="265">
        <f>C14+F14</f>
        <v>307054593</v>
      </c>
      <c r="J14" s="58">
        <f>D14+G14</f>
        <v>328151956.14999998</v>
      </c>
      <c r="K14" s="57">
        <f>J14/I14*100</f>
        <v>106.87088342951444</v>
      </c>
    </row>
    <row r="15" spans="1:11" s="21" customFormat="1" ht="33" customHeight="1">
      <c r="A15" s="42" t="s">
        <v>7</v>
      </c>
      <c r="B15" s="50" t="s">
        <v>8</v>
      </c>
      <c r="C15" s="164">
        <f>C16+C22</f>
        <v>206532400</v>
      </c>
      <c r="D15" s="164">
        <f>D16+D22</f>
        <v>221504891.25999999</v>
      </c>
      <c r="E15" s="101">
        <f t="shared" ref="E15:E87" si="0">D15/C15*100</f>
        <v>107.24946364831862</v>
      </c>
      <c r="F15" s="275">
        <v>0</v>
      </c>
      <c r="G15" s="92">
        <v>0</v>
      </c>
      <c r="H15" s="276">
        <v>0</v>
      </c>
      <c r="I15" s="143">
        <f t="shared" ref="I15:I87" si="1">C15+F15</f>
        <v>206532400</v>
      </c>
      <c r="J15" s="23">
        <f t="shared" ref="J15:J87" si="2">D15+G15</f>
        <v>221504891.25999999</v>
      </c>
      <c r="K15" s="35">
        <f t="shared" ref="K15:K87" si="3">J15/I15*100</f>
        <v>107.24946364831862</v>
      </c>
    </row>
    <row r="16" spans="1:11" s="25" customFormat="1" ht="18">
      <c r="A16" s="44" t="s">
        <v>9</v>
      </c>
      <c r="B16" s="49" t="s">
        <v>10</v>
      </c>
      <c r="C16" s="163">
        <f>SUM(C17:C21)</f>
        <v>206515900</v>
      </c>
      <c r="D16" s="163">
        <f>SUM(D17:D21)</f>
        <v>221487669.25999999</v>
      </c>
      <c r="E16" s="254">
        <f t="shared" si="0"/>
        <v>107.2496932488007</v>
      </c>
      <c r="F16" s="277">
        <v>0</v>
      </c>
      <c r="G16" s="90">
        <v>0</v>
      </c>
      <c r="H16" s="278">
        <v>0</v>
      </c>
      <c r="I16" s="141">
        <f t="shared" si="1"/>
        <v>206515900</v>
      </c>
      <c r="J16" s="24">
        <f t="shared" si="2"/>
        <v>221487669.25999999</v>
      </c>
      <c r="K16" s="33">
        <f t="shared" si="3"/>
        <v>107.2496932488007</v>
      </c>
    </row>
    <row r="17" spans="1:11" ht="54" customHeight="1">
      <c r="A17" s="43" t="s">
        <v>11</v>
      </c>
      <c r="B17" s="48" t="s">
        <v>12</v>
      </c>
      <c r="C17" s="153">
        <v>176892000</v>
      </c>
      <c r="D17" s="153">
        <v>187203676.16</v>
      </c>
      <c r="E17" s="88">
        <f t="shared" si="0"/>
        <v>105.82936263935056</v>
      </c>
      <c r="F17" s="279">
        <v>0</v>
      </c>
      <c r="G17" s="89">
        <v>0</v>
      </c>
      <c r="H17" s="280">
        <v>0</v>
      </c>
      <c r="I17" s="142">
        <f t="shared" si="1"/>
        <v>176892000</v>
      </c>
      <c r="J17" s="22">
        <f t="shared" si="2"/>
        <v>187203676.16</v>
      </c>
      <c r="K17" s="32">
        <f t="shared" si="3"/>
        <v>105.82936263935056</v>
      </c>
    </row>
    <row r="18" spans="1:11" ht="87.75" hidden="1" customHeight="1">
      <c r="A18" s="43" t="s">
        <v>13</v>
      </c>
      <c r="B18" s="48" t="s">
        <v>14</v>
      </c>
      <c r="C18" s="153">
        <v>0</v>
      </c>
      <c r="D18" s="153">
        <v>0</v>
      </c>
      <c r="E18" s="88" t="e">
        <f t="shared" si="0"/>
        <v>#DIV/0!</v>
      </c>
      <c r="F18" s="279">
        <v>0</v>
      </c>
      <c r="G18" s="89">
        <v>0</v>
      </c>
      <c r="H18" s="280">
        <v>0</v>
      </c>
      <c r="I18" s="142">
        <f t="shared" si="1"/>
        <v>0</v>
      </c>
      <c r="J18" s="22">
        <f t="shared" si="2"/>
        <v>0</v>
      </c>
      <c r="K18" s="32" t="e">
        <f t="shared" si="3"/>
        <v>#DIV/0!</v>
      </c>
    </row>
    <row r="19" spans="1:11" ht="49.95" customHeight="1">
      <c r="A19" s="43" t="s">
        <v>15</v>
      </c>
      <c r="B19" s="48" t="s">
        <v>16</v>
      </c>
      <c r="C19" s="153">
        <v>26949900</v>
      </c>
      <c r="D19" s="153">
        <v>31331891.600000001</v>
      </c>
      <c r="E19" s="88">
        <f t="shared" si="0"/>
        <v>116.25976942400528</v>
      </c>
      <c r="F19" s="279">
        <v>0</v>
      </c>
      <c r="G19" s="89">
        <v>0</v>
      </c>
      <c r="H19" s="280">
        <v>0</v>
      </c>
      <c r="I19" s="142">
        <f t="shared" si="1"/>
        <v>26949900</v>
      </c>
      <c r="J19" s="22">
        <f t="shared" si="2"/>
        <v>31331891.600000001</v>
      </c>
      <c r="K19" s="32">
        <f t="shared" si="3"/>
        <v>116.25976942400528</v>
      </c>
    </row>
    <row r="20" spans="1:11" ht="52.05" customHeight="1">
      <c r="A20" s="43" t="s">
        <v>17</v>
      </c>
      <c r="B20" s="48" t="s">
        <v>18</v>
      </c>
      <c r="C20" s="153">
        <v>2394000</v>
      </c>
      <c r="D20" s="153">
        <v>2470385.16</v>
      </c>
      <c r="E20" s="88">
        <f t="shared" si="0"/>
        <v>103.19069172932332</v>
      </c>
      <c r="F20" s="279">
        <v>0</v>
      </c>
      <c r="G20" s="89">
        <v>0</v>
      </c>
      <c r="H20" s="280">
        <v>0</v>
      </c>
      <c r="I20" s="142">
        <f t="shared" si="1"/>
        <v>2394000</v>
      </c>
      <c r="J20" s="22">
        <f t="shared" si="2"/>
        <v>2470385.16</v>
      </c>
      <c r="K20" s="32">
        <f t="shared" si="3"/>
        <v>103.19069172932332</v>
      </c>
    </row>
    <row r="21" spans="1:11" ht="51" customHeight="1">
      <c r="A21" s="43" t="s">
        <v>506</v>
      </c>
      <c r="B21" s="48" t="s">
        <v>507</v>
      </c>
      <c r="C21" s="153">
        <v>280000</v>
      </c>
      <c r="D21" s="153">
        <v>481716.34</v>
      </c>
      <c r="E21" s="88">
        <v>100</v>
      </c>
      <c r="F21" s="279">
        <v>0</v>
      </c>
      <c r="G21" s="89">
        <v>0</v>
      </c>
      <c r="H21" s="280">
        <v>0</v>
      </c>
      <c r="I21" s="142">
        <f t="shared" ref="I21" si="4">C21+F21</f>
        <v>280000</v>
      </c>
      <c r="J21" s="22">
        <f t="shared" ref="J21" si="5">D21+G21</f>
        <v>481716.34</v>
      </c>
      <c r="K21" s="32">
        <v>100</v>
      </c>
    </row>
    <row r="22" spans="1:11" ht="22.5" customHeight="1">
      <c r="A22" s="46" t="s">
        <v>332</v>
      </c>
      <c r="B22" s="52" t="s">
        <v>329</v>
      </c>
      <c r="C22" s="163">
        <f>C23</f>
        <v>16500</v>
      </c>
      <c r="D22" s="163">
        <f>D23</f>
        <v>17222</v>
      </c>
      <c r="E22" s="87">
        <f t="shared" si="0"/>
        <v>104.37575757575756</v>
      </c>
      <c r="F22" s="281">
        <v>0</v>
      </c>
      <c r="G22" s="93">
        <v>0</v>
      </c>
      <c r="H22" s="282">
        <v>0</v>
      </c>
      <c r="I22" s="175">
        <f t="shared" ref="I22" si="6">C22+F22</f>
        <v>16500</v>
      </c>
      <c r="J22" s="28">
        <f t="shared" ref="J22" si="7">D22+G22</f>
        <v>17222</v>
      </c>
      <c r="K22" s="35">
        <f t="shared" si="3"/>
        <v>104.37575757575756</v>
      </c>
    </row>
    <row r="23" spans="1:11" ht="34.950000000000003" customHeight="1">
      <c r="A23" s="43" t="s">
        <v>330</v>
      </c>
      <c r="B23" s="48" t="s">
        <v>331</v>
      </c>
      <c r="C23" s="153">
        <v>16500</v>
      </c>
      <c r="D23" s="153">
        <v>17222</v>
      </c>
      <c r="E23" s="88">
        <f t="shared" si="0"/>
        <v>104.37575757575756</v>
      </c>
      <c r="F23" s="279">
        <v>0</v>
      </c>
      <c r="G23" s="89">
        <v>0</v>
      </c>
      <c r="H23" s="280">
        <v>0</v>
      </c>
      <c r="I23" s="142">
        <f t="shared" ref="I23" si="8">C23+F23</f>
        <v>16500</v>
      </c>
      <c r="J23" s="22">
        <f t="shared" ref="J23" si="9">D23+G23</f>
        <v>17222</v>
      </c>
      <c r="K23" s="35">
        <f t="shared" si="3"/>
        <v>104.37575757575756</v>
      </c>
    </row>
    <row r="24" spans="1:11" s="21" customFormat="1" ht="38.25" customHeight="1">
      <c r="A24" s="42" t="s">
        <v>19</v>
      </c>
      <c r="B24" s="50" t="s">
        <v>20</v>
      </c>
      <c r="C24" s="152">
        <f>C25+C30+C28</f>
        <v>1533800</v>
      </c>
      <c r="D24" s="152">
        <f>D25+D28+D30</f>
        <v>1535331.1300000001</v>
      </c>
      <c r="E24" s="101">
        <f t="shared" si="0"/>
        <v>100.09982592254532</v>
      </c>
      <c r="F24" s="275">
        <v>0</v>
      </c>
      <c r="G24" s="92">
        <v>0</v>
      </c>
      <c r="H24" s="276">
        <v>0</v>
      </c>
      <c r="I24" s="143">
        <f t="shared" si="1"/>
        <v>1533800</v>
      </c>
      <c r="J24" s="23">
        <f t="shared" si="2"/>
        <v>1535331.1300000001</v>
      </c>
      <c r="K24" s="35">
        <f t="shared" si="3"/>
        <v>100.09982592254532</v>
      </c>
    </row>
    <row r="25" spans="1:11" s="25" customFormat="1" ht="33.75" customHeight="1">
      <c r="A25" s="44" t="s">
        <v>21</v>
      </c>
      <c r="B25" s="49" t="s">
        <v>22</v>
      </c>
      <c r="C25" s="163">
        <f>SUM(C26:C27)</f>
        <v>1487100</v>
      </c>
      <c r="D25" s="163">
        <f>SUM(D26:D27)</f>
        <v>1488089.22</v>
      </c>
      <c r="E25" s="254">
        <f t="shared" si="0"/>
        <v>100.06652007262457</v>
      </c>
      <c r="F25" s="277">
        <v>0</v>
      </c>
      <c r="G25" s="90">
        <v>0</v>
      </c>
      <c r="H25" s="278">
        <v>0</v>
      </c>
      <c r="I25" s="141">
        <f t="shared" si="1"/>
        <v>1487100</v>
      </c>
      <c r="J25" s="24">
        <f t="shared" si="2"/>
        <v>1488089.22</v>
      </c>
      <c r="K25" s="33">
        <f t="shared" si="3"/>
        <v>100.06652007262457</v>
      </c>
    </row>
    <row r="26" spans="1:11" s="25" customFormat="1" ht="52.5" customHeight="1">
      <c r="A26" s="45" t="s">
        <v>276</v>
      </c>
      <c r="B26" s="51" t="s">
        <v>272</v>
      </c>
      <c r="C26" s="153">
        <v>1239000</v>
      </c>
      <c r="D26" s="153">
        <v>1239955.1499999999</v>
      </c>
      <c r="E26" s="255">
        <f t="shared" si="0"/>
        <v>100.07709039548023</v>
      </c>
      <c r="F26" s="279">
        <v>0</v>
      </c>
      <c r="G26" s="89">
        <v>0</v>
      </c>
      <c r="H26" s="280">
        <v>0</v>
      </c>
      <c r="I26" s="142">
        <f t="shared" ref="I26" si="10">C26+F26</f>
        <v>1239000</v>
      </c>
      <c r="J26" s="22">
        <f t="shared" ref="J26" si="11">D26+G26</f>
        <v>1239955.1499999999</v>
      </c>
      <c r="K26" s="32">
        <f t="shared" ref="K26" si="12">J26/I26*100</f>
        <v>100.07709039548023</v>
      </c>
    </row>
    <row r="27" spans="1:11" ht="82.95" customHeight="1">
      <c r="A27" s="43" t="s">
        <v>23</v>
      </c>
      <c r="B27" s="48" t="s">
        <v>24</v>
      </c>
      <c r="C27" s="153">
        <v>248100</v>
      </c>
      <c r="D27" s="153">
        <v>248134.07</v>
      </c>
      <c r="E27" s="255">
        <f t="shared" si="0"/>
        <v>100.01373236598145</v>
      </c>
      <c r="F27" s="279">
        <v>0</v>
      </c>
      <c r="G27" s="89">
        <v>0</v>
      </c>
      <c r="H27" s="280">
        <v>0</v>
      </c>
      <c r="I27" s="142">
        <f t="shared" si="1"/>
        <v>248100</v>
      </c>
      <c r="J27" s="22">
        <f t="shared" si="2"/>
        <v>248134.07</v>
      </c>
      <c r="K27" s="32">
        <f t="shared" si="3"/>
        <v>100.01373236598145</v>
      </c>
    </row>
    <row r="28" spans="1:11" ht="28.95" customHeight="1">
      <c r="A28" s="46" t="s">
        <v>418</v>
      </c>
      <c r="B28" s="49" t="s">
        <v>416</v>
      </c>
      <c r="C28" s="163">
        <f>C29</f>
        <v>0</v>
      </c>
      <c r="D28" s="163">
        <f>D29</f>
        <v>473.85</v>
      </c>
      <c r="E28" s="87">
        <v>100</v>
      </c>
      <c r="F28" s="281">
        <v>0</v>
      </c>
      <c r="G28" s="93">
        <v>0</v>
      </c>
      <c r="H28" s="282">
        <v>0</v>
      </c>
      <c r="I28" s="175">
        <f t="shared" ref="I28:I29" si="13">C28+F28</f>
        <v>0</v>
      </c>
      <c r="J28" s="28">
        <f t="shared" ref="J28:J29" si="14">D28+G28</f>
        <v>473.85</v>
      </c>
      <c r="K28" s="38">
        <v>100</v>
      </c>
    </row>
    <row r="29" spans="1:11" ht="38.549999999999997" customHeight="1">
      <c r="A29" s="43" t="s">
        <v>419</v>
      </c>
      <c r="B29" s="48" t="s">
        <v>417</v>
      </c>
      <c r="C29" s="153">
        <v>0</v>
      </c>
      <c r="D29" s="153">
        <v>473.85</v>
      </c>
      <c r="E29" s="255">
        <v>100</v>
      </c>
      <c r="F29" s="279">
        <v>0</v>
      </c>
      <c r="G29" s="89">
        <v>0</v>
      </c>
      <c r="H29" s="280">
        <v>0</v>
      </c>
      <c r="I29" s="142">
        <f t="shared" si="13"/>
        <v>0</v>
      </c>
      <c r="J29" s="22">
        <f t="shared" si="14"/>
        <v>473.85</v>
      </c>
      <c r="K29" s="32">
        <v>100</v>
      </c>
    </row>
    <row r="30" spans="1:11" s="25" customFormat="1" ht="22.05" customHeight="1">
      <c r="A30" s="44" t="s">
        <v>25</v>
      </c>
      <c r="B30" s="49" t="s">
        <v>26</v>
      </c>
      <c r="C30" s="163">
        <f>SUM(C31:C32)</f>
        <v>46700</v>
      </c>
      <c r="D30" s="163">
        <f>SUM(D31:D32)</f>
        <v>46768.06</v>
      </c>
      <c r="E30" s="87">
        <f t="shared" si="0"/>
        <v>100.14573875802996</v>
      </c>
      <c r="F30" s="281">
        <v>0</v>
      </c>
      <c r="G30" s="93">
        <v>0</v>
      </c>
      <c r="H30" s="282">
        <v>0</v>
      </c>
      <c r="I30" s="175">
        <f t="shared" si="1"/>
        <v>46700</v>
      </c>
      <c r="J30" s="28">
        <f t="shared" si="2"/>
        <v>46768.06</v>
      </c>
      <c r="K30" s="38">
        <f t="shared" si="3"/>
        <v>100.14573875802996</v>
      </c>
    </row>
    <row r="31" spans="1:11" ht="46.8">
      <c r="A31" s="43" t="s">
        <v>27</v>
      </c>
      <c r="B31" s="48" t="s">
        <v>28</v>
      </c>
      <c r="C31" s="153">
        <v>46700</v>
      </c>
      <c r="D31" s="153">
        <v>46768.06</v>
      </c>
      <c r="E31" s="255">
        <f t="shared" si="0"/>
        <v>100.14573875802996</v>
      </c>
      <c r="F31" s="279">
        <v>0</v>
      </c>
      <c r="G31" s="89">
        <v>0</v>
      </c>
      <c r="H31" s="280">
        <v>0</v>
      </c>
      <c r="I31" s="142">
        <f t="shared" si="1"/>
        <v>46700</v>
      </c>
      <c r="J31" s="22">
        <f t="shared" si="2"/>
        <v>46768.06</v>
      </c>
      <c r="K31" s="32">
        <f t="shared" si="3"/>
        <v>100.14573875802996</v>
      </c>
    </row>
    <row r="32" spans="1:11" ht="31.2" hidden="1">
      <c r="A32" s="64" t="s">
        <v>315</v>
      </c>
      <c r="B32" s="48" t="s">
        <v>287</v>
      </c>
      <c r="C32" s="153">
        <v>0</v>
      </c>
      <c r="D32" s="153">
        <v>0</v>
      </c>
      <c r="E32" s="256" t="e">
        <f t="shared" si="0"/>
        <v>#DIV/0!</v>
      </c>
      <c r="F32" s="279">
        <v>0</v>
      </c>
      <c r="G32" s="89">
        <v>0</v>
      </c>
      <c r="H32" s="280">
        <v>0</v>
      </c>
      <c r="I32" s="142">
        <f t="shared" si="1"/>
        <v>0</v>
      </c>
      <c r="J32" s="22">
        <f t="shared" si="2"/>
        <v>0</v>
      </c>
      <c r="K32" s="32" t="e">
        <f t="shared" si="3"/>
        <v>#DIV/0!</v>
      </c>
    </row>
    <row r="33" spans="1:11" s="21" customFormat="1" ht="17.399999999999999">
      <c r="A33" s="42" t="s">
        <v>29</v>
      </c>
      <c r="B33" s="50" t="s">
        <v>30</v>
      </c>
      <c r="C33" s="152">
        <f>C34+C36+C38</f>
        <v>13622700</v>
      </c>
      <c r="D33" s="152">
        <f>D34+D36+D38</f>
        <v>14967579.98</v>
      </c>
      <c r="E33" s="101">
        <f t="shared" si="0"/>
        <v>109.87234527663385</v>
      </c>
      <c r="F33" s="275">
        <v>0</v>
      </c>
      <c r="G33" s="92">
        <v>0</v>
      </c>
      <c r="H33" s="276">
        <v>0</v>
      </c>
      <c r="I33" s="143">
        <f t="shared" si="1"/>
        <v>13622700</v>
      </c>
      <c r="J33" s="23">
        <f t="shared" si="2"/>
        <v>14967579.98</v>
      </c>
      <c r="K33" s="35">
        <f t="shared" si="3"/>
        <v>109.87234527663385</v>
      </c>
    </row>
    <row r="34" spans="1:11" s="25" customFormat="1" ht="34.5" customHeight="1">
      <c r="A34" s="44" t="s">
        <v>31</v>
      </c>
      <c r="B34" s="49" t="s">
        <v>32</v>
      </c>
      <c r="C34" s="163">
        <f>C35</f>
        <v>1282900</v>
      </c>
      <c r="D34" s="163">
        <f>D35</f>
        <v>1437044.42</v>
      </c>
      <c r="E34" s="254">
        <f t="shared" si="0"/>
        <v>112.01531062436668</v>
      </c>
      <c r="F34" s="277">
        <v>0</v>
      </c>
      <c r="G34" s="90">
        <v>0</v>
      </c>
      <c r="H34" s="278">
        <v>0</v>
      </c>
      <c r="I34" s="141">
        <f t="shared" si="1"/>
        <v>1282900</v>
      </c>
      <c r="J34" s="24">
        <f t="shared" si="2"/>
        <v>1437044.42</v>
      </c>
      <c r="K34" s="33">
        <f t="shared" si="3"/>
        <v>112.01531062436668</v>
      </c>
    </row>
    <row r="35" spans="1:11" ht="16.5" customHeight="1">
      <c r="A35" s="43" t="s">
        <v>33</v>
      </c>
      <c r="B35" s="48" t="s">
        <v>34</v>
      </c>
      <c r="C35" s="153">
        <v>1282900</v>
      </c>
      <c r="D35" s="153">
        <v>1437044.42</v>
      </c>
      <c r="E35" s="88">
        <f t="shared" si="0"/>
        <v>112.01531062436668</v>
      </c>
      <c r="F35" s="279">
        <v>0</v>
      </c>
      <c r="G35" s="89">
        <v>0</v>
      </c>
      <c r="H35" s="280">
        <v>0</v>
      </c>
      <c r="I35" s="142">
        <f t="shared" si="1"/>
        <v>1282900</v>
      </c>
      <c r="J35" s="22">
        <f t="shared" si="2"/>
        <v>1437044.42</v>
      </c>
      <c r="K35" s="32">
        <f t="shared" si="3"/>
        <v>112.01531062436668</v>
      </c>
    </row>
    <row r="36" spans="1:11" ht="49.05" customHeight="1">
      <c r="A36" s="46" t="s">
        <v>35</v>
      </c>
      <c r="B36" s="52" t="s">
        <v>36</v>
      </c>
      <c r="C36" s="163">
        <f>C37</f>
        <v>8100000</v>
      </c>
      <c r="D36" s="163">
        <f>D37</f>
        <v>8815248.3499999996</v>
      </c>
      <c r="E36" s="87">
        <f t="shared" si="0"/>
        <v>108.83022654320986</v>
      </c>
      <c r="F36" s="281">
        <v>0</v>
      </c>
      <c r="G36" s="93">
        <v>0</v>
      </c>
      <c r="H36" s="282">
        <v>0</v>
      </c>
      <c r="I36" s="175">
        <f t="shared" si="1"/>
        <v>8100000</v>
      </c>
      <c r="J36" s="28">
        <f t="shared" si="2"/>
        <v>8815248.3499999996</v>
      </c>
      <c r="K36" s="34">
        <f t="shared" si="3"/>
        <v>108.83022654320986</v>
      </c>
    </row>
    <row r="37" spans="1:11" ht="18">
      <c r="A37" s="43" t="s">
        <v>33</v>
      </c>
      <c r="B37" s="48" t="s">
        <v>37</v>
      </c>
      <c r="C37" s="153">
        <v>8100000</v>
      </c>
      <c r="D37" s="153">
        <v>8815248.3499999996</v>
      </c>
      <c r="E37" s="88">
        <f t="shared" si="0"/>
        <v>108.83022654320986</v>
      </c>
      <c r="F37" s="279">
        <v>0</v>
      </c>
      <c r="G37" s="89">
        <v>0</v>
      </c>
      <c r="H37" s="280">
        <v>0</v>
      </c>
      <c r="I37" s="142">
        <f t="shared" si="1"/>
        <v>8100000</v>
      </c>
      <c r="J37" s="22">
        <f t="shared" si="2"/>
        <v>8815248.3499999996</v>
      </c>
      <c r="K37" s="32">
        <f t="shared" si="3"/>
        <v>108.83022654320986</v>
      </c>
    </row>
    <row r="38" spans="1:11" s="25" customFormat="1" ht="48.6">
      <c r="A38" s="44" t="s">
        <v>38</v>
      </c>
      <c r="B38" s="49" t="s">
        <v>39</v>
      </c>
      <c r="C38" s="163">
        <f>C39+C40</f>
        <v>4239800</v>
      </c>
      <c r="D38" s="163">
        <f>D39+D40</f>
        <v>4715287.21</v>
      </c>
      <c r="E38" s="254">
        <f t="shared" si="0"/>
        <v>111.21484999292419</v>
      </c>
      <c r="F38" s="277">
        <v>0</v>
      </c>
      <c r="G38" s="90">
        <v>0</v>
      </c>
      <c r="H38" s="278">
        <v>0</v>
      </c>
      <c r="I38" s="141">
        <f t="shared" si="1"/>
        <v>4239800</v>
      </c>
      <c r="J38" s="24">
        <f t="shared" si="2"/>
        <v>4715287.21</v>
      </c>
      <c r="K38" s="33">
        <f t="shared" si="3"/>
        <v>111.21484999292419</v>
      </c>
    </row>
    <row r="39" spans="1:11" s="25" customFormat="1" ht="93.6">
      <c r="A39" s="45" t="s">
        <v>472</v>
      </c>
      <c r="B39" s="51" t="s">
        <v>465</v>
      </c>
      <c r="C39" s="153">
        <v>2443000</v>
      </c>
      <c r="D39" s="153">
        <v>2738668.84</v>
      </c>
      <c r="E39" s="88">
        <f t="shared" si="0"/>
        <v>112.10269504707327</v>
      </c>
      <c r="F39" s="279">
        <v>0</v>
      </c>
      <c r="G39" s="89">
        <v>0</v>
      </c>
      <c r="H39" s="280">
        <v>0</v>
      </c>
      <c r="I39" s="142">
        <f t="shared" ref="I39:I40" si="15">C39+F39</f>
        <v>2443000</v>
      </c>
      <c r="J39" s="22">
        <f t="shared" ref="J39:J40" si="16">D39+G39</f>
        <v>2738668.84</v>
      </c>
      <c r="K39" s="32">
        <f t="shared" ref="K39:K40" si="17">J39/I39*100</f>
        <v>112.10269504707327</v>
      </c>
    </row>
    <row r="40" spans="1:11" s="25" customFormat="1" ht="62.4">
      <c r="A40" s="45" t="s">
        <v>473</v>
      </c>
      <c r="B40" s="51" t="s">
        <v>466</v>
      </c>
      <c r="C40" s="153">
        <v>1796800</v>
      </c>
      <c r="D40" s="153">
        <v>1976618.37</v>
      </c>
      <c r="E40" s="88">
        <f t="shared" si="0"/>
        <v>110.00770091273375</v>
      </c>
      <c r="F40" s="279">
        <v>0</v>
      </c>
      <c r="G40" s="89">
        <v>0</v>
      </c>
      <c r="H40" s="280">
        <v>0</v>
      </c>
      <c r="I40" s="142">
        <f t="shared" si="15"/>
        <v>1796800</v>
      </c>
      <c r="J40" s="22">
        <f t="shared" si="16"/>
        <v>1976618.37</v>
      </c>
      <c r="K40" s="32">
        <f t="shared" si="17"/>
        <v>110.00770091273375</v>
      </c>
    </row>
    <row r="41" spans="1:11" ht="17.399999999999999">
      <c r="A41" s="128" t="s">
        <v>40</v>
      </c>
      <c r="B41" s="53" t="s">
        <v>41</v>
      </c>
      <c r="C41" s="152">
        <f>C42+C53+C56</f>
        <v>84812693</v>
      </c>
      <c r="D41" s="152">
        <f>D42+D53+D56</f>
        <v>89370636.859999985</v>
      </c>
      <c r="E41" s="257">
        <f t="shared" si="0"/>
        <v>105.37412938886399</v>
      </c>
      <c r="F41" s="283">
        <v>0</v>
      </c>
      <c r="G41" s="94">
        <v>0</v>
      </c>
      <c r="H41" s="284">
        <v>0</v>
      </c>
      <c r="I41" s="145">
        <f t="shared" si="1"/>
        <v>84812693</v>
      </c>
      <c r="J41" s="27">
        <f t="shared" si="2"/>
        <v>89370636.859999985</v>
      </c>
      <c r="K41" s="38">
        <f t="shared" si="3"/>
        <v>105.37412938886399</v>
      </c>
    </row>
    <row r="42" spans="1:11" s="25" customFormat="1" ht="18">
      <c r="A42" s="44" t="s">
        <v>42</v>
      </c>
      <c r="B42" s="49" t="s">
        <v>43</v>
      </c>
      <c r="C42" s="163">
        <f>SUM(C43:C52)</f>
        <v>26954200</v>
      </c>
      <c r="D42" s="163">
        <f>SUM(D43:D52)</f>
        <v>29223549.439999998</v>
      </c>
      <c r="E42" s="254">
        <f t="shared" si="0"/>
        <v>108.41927951859078</v>
      </c>
      <c r="F42" s="277">
        <v>0</v>
      </c>
      <c r="G42" s="90">
        <v>0</v>
      </c>
      <c r="H42" s="278">
        <v>0</v>
      </c>
      <c r="I42" s="141">
        <f t="shared" si="1"/>
        <v>26954200</v>
      </c>
      <c r="J42" s="24">
        <f t="shared" si="2"/>
        <v>29223549.439999998</v>
      </c>
      <c r="K42" s="33">
        <f t="shared" si="3"/>
        <v>108.41927951859078</v>
      </c>
    </row>
    <row r="43" spans="1:11" ht="52.5" customHeight="1">
      <c r="A43" s="43" t="s">
        <v>44</v>
      </c>
      <c r="B43" s="48" t="s">
        <v>45</v>
      </c>
      <c r="C43" s="153">
        <v>5500</v>
      </c>
      <c r="D43" s="153">
        <v>5508.7</v>
      </c>
      <c r="E43" s="88">
        <f t="shared" si="0"/>
        <v>100.15818181818182</v>
      </c>
      <c r="F43" s="279">
        <v>0</v>
      </c>
      <c r="G43" s="89">
        <v>0</v>
      </c>
      <c r="H43" s="280">
        <v>0</v>
      </c>
      <c r="I43" s="142">
        <f t="shared" si="1"/>
        <v>5500</v>
      </c>
      <c r="J43" s="22">
        <f t="shared" si="2"/>
        <v>5508.7</v>
      </c>
      <c r="K43" s="32">
        <f t="shared" si="3"/>
        <v>100.15818181818182</v>
      </c>
    </row>
    <row r="44" spans="1:11" ht="49.05" customHeight="1">
      <c r="A44" s="43" t="s">
        <v>46</v>
      </c>
      <c r="B44" s="48" t="s">
        <v>47</v>
      </c>
      <c r="C44" s="153">
        <v>821000</v>
      </c>
      <c r="D44" s="153">
        <v>862482.87</v>
      </c>
      <c r="E44" s="88">
        <f t="shared" si="0"/>
        <v>105.05272472594397</v>
      </c>
      <c r="F44" s="279">
        <v>0</v>
      </c>
      <c r="G44" s="89">
        <v>0</v>
      </c>
      <c r="H44" s="280">
        <v>0</v>
      </c>
      <c r="I44" s="142">
        <f t="shared" si="1"/>
        <v>821000</v>
      </c>
      <c r="J44" s="22">
        <f t="shared" si="2"/>
        <v>862482.87</v>
      </c>
      <c r="K44" s="32">
        <f t="shared" si="3"/>
        <v>105.05272472594397</v>
      </c>
    </row>
    <row r="45" spans="1:11" ht="49.5" customHeight="1">
      <c r="A45" s="43" t="s">
        <v>48</v>
      </c>
      <c r="B45" s="48" t="s">
        <v>49</v>
      </c>
      <c r="C45" s="153">
        <v>1281900</v>
      </c>
      <c r="D45" s="153">
        <v>1481417.43</v>
      </c>
      <c r="E45" s="88">
        <f t="shared" si="0"/>
        <v>115.56419611514157</v>
      </c>
      <c r="F45" s="279">
        <v>0</v>
      </c>
      <c r="G45" s="89">
        <v>0</v>
      </c>
      <c r="H45" s="280">
        <v>0</v>
      </c>
      <c r="I45" s="142">
        <f t="shared" si="1"/>
        <v>1281900</v>
      </c>
      <c r="J45" s="22">
        <f t="shared" si="2"/>
        <v>1481417.43</v>
      </c>
      <c r="K45" s="32">
        <f t="shared" si="3"/>
        <v>115.56419611514157</v>
      </c>
    </row>
    <row r="46" spans="1:11" ht="52.5" customHeight="1">
      <c r="A46" s="43" t="s">
        <v>50</v>
      </c>
      <c r="B46" s="48" t="s">
        <v>51</v>
      </c>
      <c r="C46" s="153">
        <v>2764000</v>
      </c>
      <c r="D46" s="153">
        <v>2796788.27</v>
      </c>
      <c r="E46" s="88">
        <f t="shared" si="0"/>
        <v>101.18626157742403</v>
      </c>
      <c r="F46" s="279">
        <v>0</v>
      </c>
      <c r="G46" s="89">
        <v>0</v>
      </c>
      <c r="H46" s="280">
        <v>0</v>
      </c>
      <c r="I46" s="142">
        <f t="shared" si="1"/>
        <v>2764000</v>
      </c>
      <c r="J46" s="22">
        <f t="shared" si="2"/>
        <v>2796788.27</v>
      </c>
      <c r="K46" s="32">
        <f t="shared" si="3"/>
        <v>101.18626157742403</v>
      </c>
    </row>
    <row r="47" spans="1:11" ht="18">
      <c r="A47" s="43" t="s">
        <v>52</v>
      </c>
      <c r="B47" s="48" t="s">
        <v>53</v>
      </c>
      <c r="C47" s="153">
        <v>2465200</v>
      </c>
      <c r="D47" s="153">
        <v>2644015.94</v>
      </c>
      <c r="E47" s="88">
        <f t="shared" si="0"/>
        <v>107.25360782086646</v>
      </c>
      <c r="F47" s="279">
        <v>0</v>
      </c>
      <c r="G47" s="89">
        <v>0</v>
      </c>
      <c r="H47" s="280">
        <v>0</v>
      </c>
      <c r="I47" s="142">
        <f t="shared" si="1"/>
        <v>2465200</v>
      </c>
      <c r="J47" s="22">
        <f t="shared" si="2"/>
        <v>2644015.94</v>
      </c>
      <c r="K47" s="32">
        <f t="shared" si="3"/>
        <v>107.25360782086646</v>
      </c>
    </row>
    <row r="48" spans="1:11" ht="18">
      <c r="A48" s="43" t="s">
        <v>54</v>
      </c>
      <c r="B48" s="48" t="s">
        <v>55</v>
      </c>
      <c r="C48" s="153">
        <v>16653100</v>
      </c>
      <c r="D48" s="153">
        <v>17995488.329999998</v>
      </c>
      <c r="E48" s="88">
        <f t="shared" si="0"/>
        <v>108.06089154571821</v>
      </c>
      <c r="F48" s="279">
        <v>0</v>
      </c>
      <c r="G48" s="89">
        <v>0</v>
      </c>
      <c r="H48" s="280">
        <v>0</v>
      </c>
      <c r="I48" s="142">
        <f t="shared" si="1"/>
        <v>16653100</v>
      </c>
      <c r="J48" s="22">
        <f t="shared" si="2"/>
        <v>17995488.329999998</v>
      </c>
      <c r="K48" s="32">
        <f t="shared" si="3"/>
        <v>108.06089154571821</v>
      </c>
    </row>
    <row r="49" spans="1:11" ht="18">
      <c r="A49" s="43" t="s">
        <v>56</v>
      </c>
      <c r="B49" s="48" t="s">
        <v>57</v>
      </c>
      <c r="C49" s="153">
        <v>1600000</v>
      </c>
      <c r="D49" s="153">
        <v>1743112.74</v>
      </c>
      <c r="E49" s="88">
        <f t="shared" si="0"/>
        <v>108.94454625</v>
      </c>
      <c r="F49" s="279">
        <v>0</v>
      </c>
      <c r="G49" s="89">
        <v>0</v>
      </c>
      <c r="H49" s="280">
        <v>0</v>
      </c>
      <c r="I49" s="142">
        <f t="shared" si="1"/>
        <v>1600000</v>
      </c>
      <c r="J49" s="22">
        <f t="shared" si="2"/>
        <v>1743112.74</v>
      </c>
      <c r="K49" s="32">
        <f t="shared" si="3"/>
        <v>108.94454625</v>
      </c>
    </row>
    <row r="50" spans="1:11" ht="18">
      <c r="A50" s="43" t="s">
        <v>58</v>
      </c>
      <c r="B50" s="48" t="s">
        <v>59</v>
      </c>
      <c r="C50" s="153">
        <v>1223800</v>
      </c>
      <c r="D50" s="153">
        <v>1546631.84</v>
      </c>
      <c r="E50" s="88">
        <f t="shared" si="0"/>
        <v>126.3794606961922</v>
      </c>
      <c r="F50" s="279">
        <v>0</v>
      </c>
      <c r="G50" s="89">
        <v>0</v>
      </c>
      <c r="H50" s="280">
        <v>0</v>
      </c>
      <c r="I50" s="142">
        <f t="shared" si="1"/>
        <v>1223800</v>
      </c>
      <c r="J50" s="22">
        <f t="shared" si="2"/>
        <v>1546631.84</v>
      </c>
      <c r="K50" s="32">
        <f t="shared" si="3"/>
        <v>126.3794606961922</v>
      </c>
    </row>
    <row r="51" spans="1:11" ht="18">
      <c r="A51" s="43" t="s">
        <v>60</v>
      </c>
      <c r="B51" s="48" t="s">
        <v>61</v>
      </c>
      <c r="C51" s="153">
        <v>29100</v>
      </c>
      <c r="D51" s="153">
        <v>31249.98</v>
      </c>
      <c r="E51" s="88">
        <v>100</v>
      </c>
      <c r="F51" s="279">
        <v>0</v>
      </c>
      <c r="G51" s="89">
        <v>0</v>
      </c>
      <c r="H51" s="280">
        <v>0</v>
      </c>
      <c r="I51" s="142">
        <f t="shared" si="1"/>
        <v>29100</v>
      </c>
      <c r="J51" s="22">
        <f t="shared" si="2"/>
        <v>31249.98</v>
      </c>
      <c r="K51" s="32">
        <v>100</v>
      </c>
    </row>
    <row r="52" spans="1:11" ht="18">
      <c r="A52" s="43" t="s">
        <v>62</v>
      </c>
      <c r="B52" s="48" t="s">
        <v>63</v>
      </c>
      <c r="C52" s="153">
        <v>110600</v>
      </c>
      <c r="D52" s="153">
        <v>116853.34</v>
      </c>
      <c r="E52" s="88">
        <f t="shared" si="0"/>
        <v>105.65401446654612</v>
      </c>
      <c r="F52" s="279">
        <v>0</v>
      </c>
      <c r="G52" s="89">
        <v>0</v>
      </c>
      <c r="H52" s="280">
        <v>0</v>
      </c>
      <c r="I52" s="142">
        <f t="shared" si="1"/>
        <v>110600</v>
      </c>
      <c r="J52" s="22">
        <f t="shared" si="2"/>
        <v>116853.34</v>
      </c>
      <c r="K52" s="32">
        <f t="shared" si="3"/>
        <v>105.65401446654612</v>
      </c>
    </row>
    <row r="53" spans="1:11" s="25" customFormat="1" ht="18">
      <c r="A53" s="44" t="s">
        <v>64</v>
      </c>
      <c r="B53" s="49" t="s">
        <v>65</v>
      </c>
      <c r="C53" s="163">
        <f>SUM(C54:C55)</f>
        <v>21800</v>
      </c>
      <c r="D53" s="163">
        <f>SUM(D54:D55)</f>
        <v>32123.25</v>
      </c>
      <c r="E53" s="87">
        <f t="shared" si="0"/>
        <v>147.35435779816515</v>
      </c>
      <c r="F53" s="277">
        <v>0</v>
      </c>
      <c r="G53" s="90">
        <v>0</v>
      </c>
      <c r="H53" s="278">
        <v>0</v>
      </c>
      <c r="I53" s="141">
        <f t="shared" si="1"/>
        <v>21800</v>
      </c>
      <c r="J53" s="24">
        <f t="shared" si="2"/>
        <v>32123.25</v>
      </c>
      <c r="K53" s="33">
        <f t="shared" si="3"/>
        <v>147.35435779816515</v>
      </c>
    </row>
    <row r="54" spans="1:11" ht="31.2">
      <c r="A54" s="43" t="s">
        <v>66</v>
      </c>
      <c r="B54" s="48" t="s">
        <v>67</v>
      </c>
      <c r="C54" s="153">
        <v>9800</v>
      </c>
      <c r="D54" s="153">
        <v>15603.3</v>
      </c>
      <c r="E54" s="88">
        <f t="shared" si="0"/>
        <v>159.21734693877551</v>
      </c>
      <c r="F54" s="279">
        <v>0</v>
      </c>
      <c r="G54" s="89">
        <v>0</v>
      </c>
      <c r="H54" s="280">
        <v>0</v>
      </c>
      <c r="I54" s="142">
        <f t="shared" si="1"/>
        <v>9800</v>
      </c>
      <c r="J54" s="22">
        <f t="shared" si="2"/>
        <v>15603.3</v>
      </c>
      <c r="K54" s="32">
        <f t="shared" si="3"/>
        <v>159.21734693877551</v>
      </c>
    </row>
    <row r="55" spans="1:11" ht="18">
      <c r="A55" s="43" t="s">
        <v>68</v>
      </c>
      <c r="B55" s="48" t="s">
        <v>69</v>
      </c>
      <c r="C55" s="153">
        <v>12000</v>
      </c>
      <c r="D55" s="153">
        <v>16519.95</v>
      </c>
      <c r="E55" s="88">
        <f t="shared" si="0"/>
        <v>137.66625000000002</v>
      </c>
      <c r="F55" s="279">
        <v>0</v>
      </c>
      <c r="G55" s="89">
        <v>0</v>
      </c>
      <c r="H55" s="280">
        <v>0</v>
      </c>
      <c r="I55" s="142">
        <f t="shared" si="1"/>
        <v>12000</v>
      </c>
      <c r="J55" s="22">
        <f t="shared" si="2"/>
        <v>16519.95</v>
      </c>
      <c r="K55" s="32">
        <f t="shared" si="3"/>
        <v>137.66625000000002</v>
      </c>
    </row>
    <row r="56" spans="1:11" s="25" customFormat="1" ht="18">
      <c r="A56" s="44" t="s">
        <v>70</v>
      </c>
      <c r="B56" s="49" t="s">
        <v>71</v>
      </c>
      <c r="C56" s="163">
        <f>SUM(C57:C59)</f>
        <v>57836693</v>
      </c>
      <c r="D56" s="163">
        <f>SUM(D57:D59)</f>
        <v>60114964.169999994</v>
      </c>
      <c r="E56" s="254">
        <f t="shared" si="0"/>
        <v>103.93914494730878</v>
      </c>
      <c r="F56" s="277">
        <v>0</v>
      </c>
      <c r="G56" s="90">
        <v>0</v>
      </c>
      <c r="H56" s="278">
        <v>0</v>
      </c>
      <c r="I56" s="141">
        <f t="shared" si="1"/>
        <v>57836693</v>
      </c>
      <c r="J56" s="24">
        <f t="shared" si="2"/>
        <v>60114964.169999994</v>
      </c>
      <c r="K56" s="33">
        <f t="shared" si="3"/>
        <v>103.93914494730878</v>
      </c>
    </row>
    <row r="57" spans="1:11" ht="18">
      <c r="A57" s="43" t="s">
        <v>72</v>
      </c>
      <c r="B57" s="48" t="s">
        <v>73</v>
      </c>
      <c r="C57" s="153">
        <v>3051500</v>
      </c>
      <c r="D57" s="153">
        <v>3095580.83</v>
      </c>
      <c r="E57" s="88">
        <f t="shared" si="0"/>
        <v>101.44456267409471</v>
      </c>
      <c r="F57" s="279">
        <v>0</v>
      </c>
      <c r="G57" s="89">
        <v>0</v>
      </c>
      <c r="H57" s="280">
        <v>0</v>
      </c>
      <c r="I57" s="142">
        <f t="shared" si="1"/>
        <v>3051500</v>
      </c>
      <c r="J57" s="22">
        <f t="shared" si="2"/>
        <v>3095580.83</v>
      </c>
      <c r="K57" s="32">
        <f t="shared" si="3"/>
        <v>101.44456267409471</v>
      </c>
    </row>
    <row r="58" spans="1:11" ht="18">
      <c r="A58" s="43" t="s">
        <v>74</v>
      </c>
      <c r="B58" s="48" t="s">
        <v>75</v>
      </c>
      <c r="C58" s="153">
        <v>50019693</v>
      </c>
      <c r="D58" s="153">
        <v>51963411.789999999</v>
      </c>
      <c r="E58" s="88">
        <f t="shared" si="0"/>
        <v>103.88590707663879</v>
      </c>
      <c r="F58" s="279">
        <v>0</v>
      </c>
      <c r="G58" s="89">
        <v>0</v>
      </c>
      <c r="H58" s="280">
        <v>0</v>
      </c>
      <c r="I58" s="142">
        <f t="shared" si="1"/>
        <v>50019693</v>
      </c>
      <c r="J58" s="22">
        <f t="shared" si="2"/>
        <v>51963411.789999999</v>
      </c>
      <c r="K58" s="32">
        <f t="shared" si="3"/>
        <v>103.88590707663879</v>
      </c>
    </row>
    <row r="59" spans="1:11" ht="78">
      <c r="A59" s="43" t="s">
        <v>76</v>
      </c>
      <c r="B59" s="48" t="s">
        <v>77</v>
      </c>
      <c r="C59" s="153">
        <v>4765500</v>
      </c>
      <c r="D59" s="153">
        <v>5055971.55</v>
      </c>
      <c r="E59" s="88">
        <f t="shared" si="0"/>
        <v>106.09530059804845</v>
      </c>
      <c r="F59" s="285">
        <v>0</v>
      </c>
      <c r="G59" s="95">
        <v>0</v>
      </c>
      <c r="H59" s="280">
        <v>0</v>
      </c>
      <c r="I59" s="142">
        <f t="shared" si="1"/>
        <v>4765500</v>
      </c>
      <c r="J59" s="22">
        <f t="shared" si="2"/>
        <v>5055971.55</v>
      </c>
      <c r="K59" s="32">
        <f t="shared" si="3"/>
        <v>106.09530059804845</v>
      </c>
    </row>
    <row r="60" spans="1:11" s="21" customFormat="1" ht="17.399999999999999">
      <c r="A60" s="42" t="s">
        <v>78</v>
      </c>
      <c r="B60" s="50" t="s">
        <v>79</v>
      </c>
      <c r="C60" s="152">
        <v>0</v>
      </c>
      <c r="D60" s="152">
        <v>0</v>
      </c>
      <c r="E60" s="101">
        <v>0</v>
      </c>
      <c r="F60" s="286">
        <f>F61</f>
        <v>553000</v>
      </c>
      <c r="G60" s="98">
        <f>G61</f>
        <v>773516.92</v>
      </c>
      <c r="H60" s="287">
        <f t="shared" ref="H60:H65" si="18">G60/F60*100</f>
        <v>139.87647739602173</v>
      </c>
      <c r="I60" s="143">
        <f t="shared" si="1"/>
        <v>553000</v>
      </c>
      <c r="J60" s="23">
        <f t="shared" si="2"/>
        <v>773516.92</v>
      </c>
      <c r="K60" s="35">
        <f t="shared" si="3"/>
        <v>139.87647739602173</v>
      </c>
    </row>
    <row r="61" spans="1:11" s="25" customFormat="1" ht="18">
      <c r="A61" s="44" t="s">
        <v>80</v>
      </c>
      <c r="B61" s="49" t="s">
        <v>81</v>
      </c>
      <c r="C61" s="163">
        <v>0</v>
      </c>
      <c r="D61" s="163">
        <v>0</v>
      </c>
      <c r="E61" s="87">
        <v>0</v>
      </c>
      <c r="F61" s="288">
        <f>SUM(F62:F64)</f>
        <v>553000</v>
      </c>
      <c r="G61" s="165">
        <f>SUM(G62:G64)</f>
        <v>773516.92</v>
      </c>
      <c r="H61" s="289">
        <f t="shared" si="18"/>
        <v>139.87647739602173</v>
      </c>
      <c r="I61" s="141">
        <f t="shared" si="1"/>
        <v>553000</v>
      </c>
      <c r="J61" s="24">
        <f t="shared" si="2"/>
        <v>773516.92</v>
      </c>
      <c r="K61" s="33">
        <f t="shared" si="3"/>
        <v>139.87647739602173</v>
      </c>
    </row>
    <row r="62" spans="1:11" ht="69" customHeight="1">
      <c r="A62" s="43" t="s">
        <v>82</v>
      </c>
      <c r="B62" s="48" t="s">
        <v>83</v>
      </c>
      <c r="C62" s="153">
        <v>0</v>
      </c>
      <c r="D62" s="153">
        <v>0</v>
      </c>
      <c r="E62" s="88">
        <v>0</v>
      </c>
      <c r="F62" s="279">
        <v>440000</v>
      </c>
      <c r="G62" s="89">
        <v>596325.5</v>
      </c>
      <c r="H62" s="280">
        <f t="shared" si="18"/>
        <v>135.52852272727273</v>
      </c>
      <c r="I62" s="142">
        <f t="shared" si="1"/>
        <v>440000</v>
      </c>
      <c r="J62" s="22">
        <f t="shared" si="2"/>
        <v>596325.5</v>
      </c>
      <c r="K62" s="32">
        <f t="shared" si="3"/>
        <v>135.52852272727273</v>
      </c>
    </row>
    <row r="63" spans="1:11" ht="34.5" customHeight="1">
      <c r="A63" s="43" t="s">
        <v>84</v>
      </c>
      <c r="B63" s="48" t="s">
        <v>85</v>
      </c>
      <c r="C63" s="153">
        <v>0</v>
      </c>
      <c r="D63" s="153">
        <v>0</v>
      </c>
      <c r="E63" s="88">
        <v>0</v>
      </c>
      <c r="F63" s="279">
        <v>83000</v>
      </c>
      <c r="G63" s="89">
        <v>143114.76</v>
      </c>
      <c r="H63" s="280">
        <f t="shared" si="18"/>
        <v>172.42742168674701</v>
      </c>
      <c r="I63" s="142">
        <f t="shared" si="1"/>
        <v>83000</v>
      </c>
      <c r="J63" s="22">
        <f t="shared" si="2"/>
        <v>143114.76</v>
      </c>
      <c r="K63" s="32">
        <f t="shared" si="3"/>
        <v>172.42742168674701</v>
      </c>
    </row>
    <row r="64" spans="1:11" ht="66.45" customHeight="1" thickBot="1">
      <c r="A64" s="39" t="s">
        <v>86</v>
      </c>
      <c r="B64" s="54" t="s">
        <v>87</v>
      </c>
      <c r="C64" s="154">
        <v>0</v>
      </c>
      <c r="D64" s="154">
        <v>0</v>
      </c>
      <c r="E64" s="86">
        <v>0</v>
      </c>
      <c r="F64" s="285">
        <v>30000</v>
      </c>
      <c r="G64" s="95">
        <v>34076.660000000003</v>
      </c>
      <c r="H64" s="290">
        <f t="shared" si="18"/>
        <v>113.58886666666668</v>
      </c>
      <c r="I64" s="168">
        <f t="shared" si="1"/>
        <v>30000</v>
      </c>
      <c r="J64" s="26">
        <f t="shared" si="2"/>
        <v>34076.660000000003</v>
      </c>
      <c r="K64" s="36">
        <f t="shared" si="3"/>
        <v>113.58886666666668</v>
      </c>
    </row>
    <row r="65" spans="1:11" s="21" customFormat="1" ht="29.25" customHeight="1" thickBot="1">
      <c r="A65" s="40" t="s">
        <v>88</v>
      </c>
      <c r="B65" s="106" t="s">
        <v>89</v>
      </c>
      <c r="C65" s="169">
        <f>C66+C74+C86</f>
        <v>5444100</v>
      </c>
      <c r="D65" s="169">
        <f>D66+D74+D86</f>
        <v>6261514.4900000012</v>
      </c>
      <c r="E65" s="258">
        <f t="shared" si="0"/>
        <v>115.0146854392829</v>
      </c>
      <c r="F65" s="291">
        <f>F66+F74+F86+F91</f>
        <v>9838031.9700000007</v>
      </c>
      <c r="G65" s="96">
        <f>G66+G74+G86+G91</f>
        <v>9961117.959999999</v>
      </c>
      <c r="H65" s="274">
        <f t="shared" si="18"/>
        <v>101.25112411075037</v>
      </c>
      <c r="I65" s="265">
        <f t="shared" si="1"/>
        <v>15282131.970000001</v>
      </c>
      <c r="J65" s="58">
        <f t="shared" si="2"/>
        <v>16222632.449999999</v>
      </c>
      <c r="K65" s="57">
        <f t="shared" si="3"/>
        <v>106.1542491705102</v>
      </c>
    </row>
    <row r="66" spans="1:11" s="25" customFormat="1" ht="31.2">
      <c r="A66" s="128" t="s">
        <v>90</v>
      </c>
      <c r="B66" s="53" t="s">
        <v>91</v>
      </c>
      <c r="C66" s="164">
        <f>C67+C69</f>
        <v>62400</v>
      </c>
      <c r="D66" s="164">
        <f>D67+D69</f>
        <v>102525.11</v>
      </c>
      <c r="E66" s="257">
        <f t="shared" si="0"/>
        <v>164.3030608974359</v>
      </c>
      <c r="F66" s="283">
        <f>F73</f>
        <v>0</v>
      </c>
      <c r="G66" s="174">
        <f>G73</f>
        <v>0</v>
      </c>
      <c r="H66" s="292">
        <v>0</v>
      </c>
      <c r="I66" s="145">
        <f t="shared" si="1"/>
        <v>62400</v>
      </c>
      <c r="J66" s="27">
        <f t="shared" si="2"/>
        <v>102525.11</v>
      </c>
      <c r="K66" s="38">
        <f t="shared" si="3"/>
        <v>164.3030608974359</v>
      </c>
    </row>
    <row r="67" spans="1:11" s="25" customFormat="1" ht="113.55" customHeight="1">
      <c r="A67" s="44" t="s">
        <v>340</v>
      </c>
      <c r="B67" s="49" t="s">
        <v>401</v>
      </c>
      <c r="C67" s="163">
        <f>C68</f>
        <v>7600</v>
      </c>
      <c r="D67" s="163">
        <f>D68</f>
        <v>7626</v>
      </c>
      <c r="E67" s="254">
        <f t="shared" si="0"/>
        <v>100.3421052631579</v>
      </c>
      <c r="F67" s="281">
        <v>0</v>
      </c>
      <c r="G67" s="166">
        <v>0</v>
      </c>
      <c r="H67" s="293">
        <v>0</v>
      </c>
      <c r="I67" s="175">
        <f t="shared" ref="I67:I68" si="19">C67+F67</f>
        <v>7600</v>
      </c>
      <c r="J67" s="28">
        <f t="shared" ref="J67:J68" si="20">D67+G67</f>
        <v>7626</v>
      </c>
      <c r="K67" s="33">
        <f t="shared" si="3"/>
        <v>100.3421052631579</v>
      </c>
    </row>
    <row r="68" spans="1:11" s="25" customFormat="1" ht="48" customHeight="1">
      <c r="A68" s="128" t="s">
        <v>341</v>
      </c>
      <c r="B68" s="51" t="s">
        <v>339</v>
      </c>
      <c r="C68" s="153">
        <v>7600</v>
      </c>
      <c r="D68" s="153">
        <v>7626</v>
      </c>
      <c r="E68" s="88">
        <f t="shared" si="0"/>
        <v>100.3421052631579</v>
      </c>
      <c r="F68" s="279">
        <v>0</v>
      </c>
      <c r="G68" s="89">
        <v>0</v>
      </c>
      <c r="H68" s="290">
        <v>0</v>
      </c>
      <c r="I68" s="142">
        <f t="shared" si="19"/>
        <v>7600</v>
      </c>
      <c r="J68" s="22">
        <f t="shared" si="20"/>
        <v>7626</v>
      </c>
      <c r="K68" s="32">
        <f t="shared" si="3"/>
        <v>100.3421052631579</v>
      </c>
    </row>
    <row r="69" spans="1:11" s="25" customFormat="1" ht="18">
      <c r="A69" s="44" t="s">
        <v>92</v>
      </c>
      <c r="B69" s="49" t="s">
        <v>93</v>
      </c>
      <c r="C69" s="163">
        <f>C70+C71+C72</f>
        <v>54800</v>
      </c>
      <c r="D69" s="163">
        <f>D70+D71+D72</f>
        <v>94899.11</v>
      </c>
      <c r="E69" s="254">
        <f t="shared" si="0"/>
        <v>173.17355839416058</v>
      </c>
      <c r="F69" s="277">
        <v>0</v>
      </c>
      <c r="G69" s="138">
        <v>0</v>
      </c>
      <c r="H69" s="294">
        <v>0</v>
      </c>
      <c r="I69" s="141">
        <f t="shared" si="1"/>
        <v>54800</v>
      </c>
      <c r="J69" s="24">
        <f t="shared" si="2"/>
        <v>94899.11</v>
      </c>
      <c r="K69" s="33">
        <f t="shared" si="3"/>
        <v>173.17355839416058</v>
      </c>
    </row>
    <row r="70" spans="1:11" s="25" customFormat="1" ht="18" hidden="1">
      <c r="A70" s="45" t="s">
        <v>92</v>
      </c>
      <c r="B70" s="51" t="s">
        <v>420</v>
      </c>
      <c r="C70" s="153">
        <v>0</v>
      </c>
      <c r="D70" s="153">
        <v>0</v>
      </c>
      <c r="E70" s="255">
        <v>100</v>
      </c>
      <c r="F70" s="279">
        <v>0</v>
      </c>
      <c r="G70" s="139">
        <v>0</v>
      </c>
      <c r="H70" s="295">
        <v>0</v>
      </c>
      <c r="I70" s="142">
        <f t="shared" ref="I70" si="21">C70+F70</f>
        <v>0</v>
      </c>
      <c r="J70" s="22">
        <f t="shared" ref="J70" si="22">D70+G70</f>
        <v>0</v>
      </c>
      <c r="K70" s="32">
        <v>100</v>
      </c>
    </row>
    <row r="71" spans="1:11" ht="18">
      <c r="A71" s="43" t="s">
        <v>94</v>
      </c>
      <c r="B71" s="48" t="s">
        <v>95</v>
      </c>
      <c r="C71" s="153">
        <v>54800</v>
      </c>
      <c r="D71" s="153">
        <v>56599.11</v>
      </c>
      <c r="E71" s="88">
        <f t="shared" si="0"/>
        <v>103.28304744525548</v>
      </c>
      <c r="F71" s="279">
        <v>0</v>
      </c>
      <c r="G71" s="139">
        <v>0</v>
      </c>
      <c r="H71" s="296">
        <v>0</v>
      </c>
      <c r="I71" s="142">
        <f t="shared" si="1"/>
        <v>54800</v>
      </c>
      <c r="J71" s="22">
        <f t="shared" si="2"/>
        <v>56599.11</v>
      </c>
      <c r="K71" s="32">
        <f t="shared" si="3"/>
        <v>103.28304744525548</v>
      </c>
    </row>
    <row r="72" spans="1:11" ht="49.05" customHeight="1">
      <c r="A72" s="43" t="s">
        <v>334</v>
      </c>
      <c r="B72" s="48" t="s">
        <v>333</v>
      </c>
      <c r="C72" s="153">
        <v>0</v>
      </c>
      <c r="D72" s="153">
        <v>38300</v>
      </c>
      <c r="E72" s="88">
        <v>100</v>
      </c>
      <c r="F72" s="279">
        <v>0</v>
      </c>
      <c r="G72" s="139">
        <v>0</v>
      </c>
      <c r="H72" s="295">
        <v>0</v>
      </c>
      <c r="I72" s="142">
        <f t="shared" si="1"/>
        <v>0</v>
      </c>
      <c r="J72" s="22">
        <f t="shared" si="2"/>
        <v>38300</v>
      </c>
      <c r="K72" s="32">
        <v>100</v>
      </c>
    </row>
    <row r="73" spans="1:11" ht="46.8">
      <c r="A73" s="128" t="s">
        <v>321</v>
      </c>
      <c r="B73" s="53" t="s">
        <v>320</v>
      </c>
      <c r="C73" s="152">
        <v>0</v>
      </c>
      <c r="D73" s="152">
        <v>0</v>
      </c>
      <c r="E73" s="257">
        <v>0</v>
      </c>
      <c r="F73" s="283">
        <v>0</v>
      </c>
      <c r="G73" s="144">
        <v>0</v>
      </c>
      <c r="H73" s="297">
        <v>0</v>
      </c>
      <c r="I73" s="145">
        <f t="shared" ref="I73" si="23">C73+F73</f>
        <v>0</v>
      </c>
      <c r="J73" s="27">
        <f t="shared" ref="J73" si="24">D73+G73</f>
        <v>0</v>
      </c>
      <c r="K73" s="38">
        <v>100</v>
      </c>
    </row>
    <row r="74" spans="1:11" s="21" customFormat="1" ht="35.25" customHeight="1">
      <c r="A74" s="42" t="s">
        <v>96</v>
      </c>
      <c r="B74" s="50" t="s">
        <v>97</v>
      </c>
      <c r="C74" s="152">
        <f>C75+C79+C81+C85</f>
        <v>4535700</v>
      </c>
      <c r="D74" s="152">
        <f>D75+D79+D81+D85</f>
        <v>5147775.6000000006</v>
      </c>
      <c r="E74" s="101">
        <f t="shared" si="0"/>
        <v>113.49462266022887</v>
      </c>
      <c r="F74" s="275">
        <v>0</v>
      </c>
      <c r="G74" s="140">
        <v>0</v>
      </c>
      <c r="H74" s="298">
        <v>0</v>
      </c>
      <c r="I74" s="143">
        <f t="shared" si="1"/>
        <v>4535700</v>
      </c>
      <c r="J74" s="23">
        <f t="shared" si="2"/>
        <v>5147775.6000000006</v>
      </c>
      <c r="K74" s="35">
        <f t="shared" si="3"/>
        <v>113.49462266022887</v>
      </c>
    </row>
    <row r="75" spans="1:11" s="25" customFormat="1" ht="22.05" customHeight="1">
      <c r="A75" s="44" t="s">
        <v>98</v>
      </c>
      <c r="B75" s="49" t="s">
        <v>99</v>
      </c>
      <c r="C75" s="163">
        <f>SUM(C76:C78)</f>
        <v>3111500</v>
      </c>
      <c r="D75" s="163">
        <f>SUM(D76:D78)</f>
        <v>3257123.3</v>
      </c>
      <c r="E75" s="254">
        <f t="shared" si="0"/>
        <v>104.6801639080829</v>
      </c>
      <c r="F75" s="277">
        <v>0</v>
      </c>
      <c r="G75" s="90">
        <v>0</v>
      </c>
      <c r="H75" s="278">
        <v>0</v>
      </c>
      <c r="I75" s="141">
        <f t="shared" si="1"/>
        <v>3111500</v>
      </c>
      <c r="J75" s="24">
        <f t="shared" si="2"/>
        <v>3257123.3</v>
      </c>
      <c r="K75" s="33">
        <f t="shared" si="3"/>
        <v>104.6801639080829</v>
      </c>
    </row>
    <row r="76" spans="1:11" ht="48" customHeight="1">
      <c r="A76" s="43" t="s">
        <v>100</v>
      </c>
      <c r="B76" s="48" t="s">
        <v>101</v>
      </c>
      <c r="C76" s="153">
        <v>31500</v>
      </c>
      <c r="D76" s="153">
        <v>34620</v>
      </c>
      <c r="E76" s="88">
        <f t="shared" si="0"/>
        <v>109.9047619047619</v>
      </c>
      <c r="F76" s="279">
        <v>0</v>
      </c>
      <c r="G76" s="89">
        <v>0</v>
      </c>
      <c r="H76" s="280">
        <v>0</v>
      </c>
      <c r="I76" s="142">
        <f t="shared" si="1"/>
        <v>31500</v>
      </c>
      <c r="J76" s="22">
        <f t="shared" si="2"/>
        <v>34620</v>
      </c>
      <c r="K76" s="32">
        <f t="shared" si="3"/>
        <v>109.9047619047619</v>
      </c>
    </row>
    <row r="77" spans="1:11" ht="22.5" customHeight="1">
      <c r="A77" s="43" t="s">
        <v>102</v>
      </c>
      <c r="B77" s="48" t="s">
        <v>103</v>
      </c>
      <c r="C77" s="153">
        <v>1300000</v>
      </c>
      <c r="D77" s="153">
        <v>1338287.8999999999</v>
      </c>
      <c r="E77" s="88">
        <f t="shared" si="0"/>
        <v>102.94522307692307</v>
      </c>
      <c r="F77" s="279">
        <v>0</v>
      </c>
      <c r="G77" s="89">
        <v>0</v>
      </c>
      <c r="H77" s="280">
        <v>0</v>
      </c>
      <c r="I77" s="142">
        <f t="shared" si="1"/>
        <v>1300000</v>
      </c>
      <c r="J77" s="22">
        <f t="shared" si="2"/>
        <v>1338287.8999999999</v>
      </c>
      <c r="K77" s="32">
        <f t="shared" si="3"/>
        <v>102.94522307692307</v>
      </c>
    </row>
    <row r="78" spans="1:11" ht="37.950000000000003" customHeight="1">
      <c r="A78" s="43" t="s">
        <v>104</v>
      </c>
      <c r="B78" s="48" t="s">
        <v>105</v>
      </c>
      <c r="C78" s="153">
        <v>1780000</v>
      </c>
      <c r="D78" s="153">
        <v>1884215.4</v>
      </c>
      <c r="E78" s="88">
        <f t="shared" si="0"/>
        <v>105.85479775280899</v>
      </c>
      <c r="F78" s="279">
        <v>0</v>
      </c>
      <c r="G78" s="89">
        <v>0</v>
      </c>
      <c r="H78" s="280">
        <v>0</v>
      </c>
      <c r="I78" s="142">
        <f t="shared" si="1"/>
        <v>1780000</v>
      </c>
      <c r="J78" s="22">
        <f t="shared" si="2"/>
        <v>1884215.4</v>
      </c>
      <c r="K78" s="32">
        <f t="shared" si="3"/>
        <v>105.85479775280899</v>
      </c>
    </row>
    <row r="79" spans="1:11" s="25" customFormat="1" ht="48.6">
      <c r="A79" s="44" t="s">
        <v>106</v>
      </c>
      <c r="B79" s="49" t="s">
        <v>107</v>
      </c>
      <c r="C79" s="163">
        <f>C80</f>
        <v>1360000</v>
      </c>
      <c r="D79" s="163">
        <f>D80</f>
        <v>1816616.27</v>
      </c>
      <c r="E79" s="87">
        <f t="shared" si="0"/>
        <v>133.57472573529412</v>
      </c>
      <c r="F79" s="277">
        <v>0</v>
      </c>
      <c r="G79" s="90">
        <v>0</v>
      </c>
      <c r="H79" s="278">
        <v>0</v>
      </c>
      <c r="I79" s="141">
        <f t="shared" si="1"/>
        <v>1360000</v>
      </c>
      <c r="J79" s="24">
        <f t="shared" si="2"/>
        <v>1816616.27</v>
      </c>
      <c r="K79" s="33">
        <f t="shared" si="3"/>
        <v>133.57472573529412</v>
      </c>
    </row>
    <row r="80" spans="1:11" ht="46.8">
      <c r="A80" s="43" t="s">
        <v>108</v>
      </c>
      <c r="B80" s="48" t="s">
        <v>277</v>
      </c>
      <c r="C80" s="153">
        <v>1360000</v>
      </c>
      <c r="D80" s="153">
        <v>1816616.27</v>
      </c>
      <c r="E80" s="88">
        <f t="shared" si="0"/>
        <v>133.57472573529412</v>
      </c>
      <c r="F80" s="279">
        <v>0</v>
      </c>
      <c r="G80" s="89">
        <v>0</v>
      </c>
      <c r="H80" s="280">
        <v>0</v>
      </c>
      <c r="I80" s="142">
        <f t="shared" si="1"/>
        <v>1360000</v>
      </c>
      <c r="J80" s="22">
        <f t="shared" si="2"/>
        <v>1816616.27</v>
      </c>
      <c r="K80" s="32">
        <f t="shared" si="3"/>
        <v>133.57472573529412</v>
      </c>
    </row>
    <row r="81" spans="1:11" s="25" customFormat="1" ht="18">
      <c r="A81" s="44" t="s">
        <v>109</v>
      </c>
      <c r="B81" s="49" t="s">
        <v>110</v>
      </c>
      <c r="C81" s="163">
        <f>SUM(C82:C84)</f>
        <v>54300</v>
      </c>
      <c r="D81" s="163">
        <f>SUM(D82:D84)</f>
        <v>62854.710000000006</v>
      </c>
      <c r="E81" s="254">
        <f t="shared" si="0"/>
        <v>115.75453038674036</v>
      </c>
      <c r="F81" s="277">
        <v>0</v>
      </c>
      <c r="G81" s="90">
        <v>0</v>
      </c>
      <c r="H81" s="278">
        <v>0</v>
      </c>
      <c r="I81" s="141">
        <f t="shared" si="1"/>
        <v>54300</v>
      </c>
      <c r="J81" s="24">
        <f t="shared" si="2"/>
        <v>62854.710000000006</v>
      </c>
      <c r="K81" s="33">
        <f t="shared" si="3"/>
        <v>115.75453038674036</v>
      </c>
    </row>
    <row r="82" spans="1:11" ht="51.45" customHeight="1">
      <c r="A82" s="43" t="s">
        <v>111</v>
      </c>
      <c r="B82" s="48" t="s">
        <v>112</v>
      </c>
      <c r="C82" s="153">
        <v>51200</v>
      </c>
      <c r="D82" s="153">
        <v>59532.4</v>
      </c>
      <c r="E82" s="88">
        <f t="shared" si="0"/>
        <v>116.27421875000002</v>
      </c>
      <c r="F82" s="279">
        <v>0</v>
      </c>
      <c r="G82" s="89">
        <v>0</v>
      </c>
      <c r="H82" s="280">
        <v>0</v>
      </c>
      <c r="I82" s="142">
        <f t="shared" si="1"/>
        <v>51200</v>
      </c>
      <c r="J82" s="22">
        <f t="shared" si="2"/>
        <v>59532.4</v>
      </c>
      <c r="K82" s="32">
        <f t="shared" si="3"/>
        <v>116.27421875000002</v>
      </c>
    </row>
    <row r="83" spans="1:11" ht="18">
      <c r="A83" s="43" t="s">
        <v>113</v>
      </c>
      <c r="B83" s="48" t="s">
        <v>114</v>
      </c>
      <c r="C83" s="153">
        <v>100</v>
      </c>
      <c r="D83" s="153">
        <v>176.8</v>
      </c>
      <c r="E83" s="88">
        <f t="shared" si="0"/>
        <v>176.8</v>
      </c>
      <c r="F83" s="279">
        <v>0</v>
      </c>
      <c r="G83" s="89">
        <v>0</v>
      </c>
      <c r="H83" s="280">
        <v>0</v>
      </c>
      <c r="I83" s="142">
        <f t="shared" si="1"/>
        <v>100</v>
      </c>
      <c r="J83" s="22">
        <f t="shared" si="2"/>
        <v>176.8</v>
      </c>
      <c r="K83" s="32">
        <f t="shared" si="3"/>
        <v>176.8</v>
      </c>
    </row>
    <row r="84" spans="1:11" ht="46.8">
      <c r="A84" s="43" t="s">
        <v>115</v>
      </c>
      <c r="B84" s="48" t="s">
        <v>116</v>
      </c>
      <c r="C84" s="153">
        <v>3000</v>
      </c>
      <c r="D84" s="153">
        <v>3145.51</v>
      </c>
      <c r="E84" s="88">
        <f t="shared" si="0"/>
        <v>104.85033333333334</v>
      </c>
      <c r="F84" s="279">
        <v>0</v>
      </c>
      <c r="G84" s="89">
        <v>0</v>
      </c>
      <c r="H84" s="290">
        <v>0</v>
      </c>
      <c r="I84" s="142">
        <f t="shared" si="1"/>
        <v>3000</v>
      </c>
      <c r="J84" s="22">
        <f t="shared" si="2"/>
        <v>3145.51</v>
      </c>
      <c r="K84" s="32">
        <f t="shared" si="3"/>
        <v>104.85033333333334</v>
      </c>
    </row>
    <row r="85" spans="1:11" s="21" customFormat="1" ht="81">
      <c r="A85" s="46" t="s">
        <v>117</v>
      </c>
      <c r="B85" s="52" t="s">
        <v>118</v>
      </c>
      <c r="C85" s="163">
        <v>9900</v>
      </c>
      <c r="D85" s="163">
        <v>11181.32</v>
      </c>
      <c r="E85" s="87">
        <f t="shared" si="0"/>
        <v>112.94262626262625</v>
      </c>
      <c r="F85" s="281">
        <v>0</v>
      </c>
      <c r="G85" s="166">
        <v>0</v>
      </c>
      <c r="H85" s="293">
        <v>0</v>
      </c>
      <c r="I85" s="175">
        <f t="shared" si="1"/>
        <v>9900</v>
      </c>
      <c r="J85" s="28">
        <f t="shared" si="2"/>
        <v>11181.32</v>
      </c>
      <c r="K85" s="34">
        <f t="shared" si="3"/>
        <v>112.94262626262625</v>
      </c>
    </row>
    <row r="86" spans="1:11" s="21" customFormat="1" ht="17.399999999999999">
      <c r="A86" s="42" t="s">
        <v>119</v>
      </c>
      <c r="B86" s="50" t="s">
        <v>120</v>
      </c>
      <c r="C86" s="152">
        <f>C87</f>
        <v>846000</v>
      </c>
      <c r="D86" s="152">
        <f>D87</f>
        <v>1011213.78</v>
      </c>
      <c r="E86" s="101">
        <f t="shared" si="0"/>
        <v>119.52881560283689</v>
      </c>
      <c r="F86" s="283">
        <f>F87</f>
        <v>0</v>
      </c>
      <c r="G86" s="144">
        <f>G87</f>
        <v>71165.06</v>
      </c>
      <c r="H86" s="292">
        <v>100</v>
      </c>
      <c r="I86" s="143">
        <f t="shared" si="1"/>
        <v>846000</v>
      </c>
      <c r="J86" s="23">
        <f t="shared" si="2"/>
        <v>1082378.8400000001</v>
      </c>
      <c r="K86" s="35">
        <f t="shared" si="3"/>
        <v>127.94076122931443</v>
      </c>
    </row>
    <row r="87" spans="1:11" s="25" customFormat="1" ht="18">
      <c r="A87" s="44" t="s">
        <v>121</v>
      </c>
      <c r="B87" s="49" t="s">
        <v>122</v>
      </c>
      <c r="C87" s="163">
        <f>C88</f>
        <v>846000</v>
      </c>
      <c r="D87" s="163">
        <f>D88+D90</f>
        <v>1011213.78</v>
      </c>
      <c r="E87" s="254">
        <f t="shared" si="0"/>
        <v>119.52881560283689</v>
      </c>
      <c r="F87" s="281">
        <f>F89</f>
        <v>0</v>
      </c>
      <c r="G87" s="166">
        <f>G89</f>
        <v>71165.06</v>
      </c>
      <c r="H87" s="299">
        <v>100</v>
      </c>
      <c r="I87" s="141">
        <f t="shared" si="1"/>
        <v>846000</v>
      </c>
      <c r="J87" s="24">
        <f t="shared" si="2"/>
        <v>1082378.8400000001</v>
      </c>
      <c r="K87" s="33">
        <f t="shared" si="3"/>
        <v>127.94076122931443</v>
      </c>
    </row>
    <row r="88" spans="1:11" ht="18">
      <c r="A88" s="43" t="s">
        <v>121</v>
      </c>
      <c r="B88" s="48" t="s">
        <v>123</v>
      </c>
      <c r="C88" s="154">
        <v>846000</v>
      </c>
      <c r="D88" s="154">
        <v>913820.78</v>
      </c>
      <c r="E88" s="86">
        <f t="shared" ref="E88:E131" si="25">D88/C88*100</f>
        <v>108.01664066193854</v>
      </c>
      <c r="F88" s="285">
        <v>0</v>
      </c>
      <c r="G88" s="167">
        <v>0</v>
      </c>
      <c r="H88" s="300">
        <v>0</v>
      </c>
      <c r="I88" s="168">
        <f t="shared" ref="I88:I131" si="26">C88+F88</f>
        <v>846000</v>
      </c>
      <c r="J88" s="26">
        <f t="shared" ref="J88:J131" si="27">D88+G88</f>
        <v>913820.78</v>
      </c>
      <c r="K88" s="36">
        <f t="shared" ref="K88:K131" si="28">J88/I88*100</f>
        <v>108.01664066193854</v>
      </c>
    </row>
    <row r="89" spans="1:11" ht="62.4">
      <c r="A89" s="43" t="s">
        <v>275</v>
      </c>
      <c r="B89" s="129" t="s">
        <v>274</v>
      </c>
      <c r="C89" s="151">
        <v>0</v>
      </c>
      <c r="D89" s="151">
        <v>0</v>
      </c>
      <c r="E89" s="259">
        <v>0</v>
      </c>
      <c r="F89" s="301">
        <v>0</v>
      </c>
      <c r="G89" s="97">
        <v>71165.06</v>
      </c>
      <c r="H89" s="300">
        <v>100</v>
      </c>
      <c r="I89" s="266">
        <f t="shared" si="26"/>
        <v>0</v>
      </c>
      <c r="J89" s="31">
        <f t="shared" si="27"/>
        <v>71165.06</v>
      </c>
      <c r="K89" s="79">
        <v>100</v>
      </c>
    </row>
    <row r="90" spans="1:11" ht="160.5" customHeight="1">
      <c r="A90" s="43" t="s">
        <v>336</v>
      </c>
      <c r="B90" s="129" t="s">
        <v>335</v>
      </c>
      <c r="C90" s="151">
        <v>0</v>
      </c>
      <c r="D90" s="151">
        <v>97393</v>
      </c>
      <c r="E90" s="86">
        <v>100</v>
      </c>
      <c r="F90" s="301">
        <v>0</v>
      </c>
      <c r="G90" s="97">
        <v>0</v>
      </c>
      <c r="H90" s="295">
        <v>0</v>
      </c>
      <c r="I90" s="266">
        <f t="shared" ref="I90" si="29">C90+F90</f>
        <v>0</v>
      </c>
      <c r="J90" s="31">
        <f t="shared" ref="J90" si="30">D90+G90</f>
        <v>97393</v>
      </c>
      <c r="K90" s="79">
        <v>100</v>
      </c>
    </row>
    <row r="91" spans="1:11" s="21" customFormat="1" ht="22.5" customHeight="1">
      <c r="A91" s="128" t="s">
        <v>124</v>
      </c>
      <c r="B91" s="53" t="s">
        <v>125</v>
      </c>
      <c r="C91" s="164">
        <v>0</v>
      </c>
      <c r="D91" s="341">
        <v>0</v>
      </c>
      <c r="E91" s="342">
        <v>0</v>
      </c>
      <c r="F91" s="178">
        <f>F92+F96</f>
        <v>9838031.9700000007</v>
      </c>
      <c r="G91" s="178">
        <f>G92+G96</f>
        <v>9889952.8999999985</v>
      </c>
      <c r="H91" s="302">
        <f t="shared" ref="H91" si="31">G91/F91*100</f>
        <v>100.52775728070742</v>
      </c>
      <c r="I91" s="267">
        <f t="shared" si="26"/>
        <v>9838031.9700000007</v>
      </c>
      <c r="J91" s="179">
        <f t="shared" si="27"/>
        <v>9889952.8999999985</v>
      </c>
      <c r="K91" s="180">
        <f t="shared" si="28"/>
        <v>100.52775728070742</v>
      </c>
    </row>
    <row r="92" spans="1:11" ht="48.6">
      <c r="A92" s="185" t="s">
        <v>126</v>
      </c>
      <c r="B92" s="176" t="s">
        <v>127</v>
      </c>
      <c r="C92" s="163">
        <v>0</v>
      </c>
      <c r="D92" s="163">
        <v>0</v>
      </c>
      <c r="E92" s="177">
        <v>0</v>
      </c>
      <c r="F92" s="288">
        <f>F93+F94+F95</f>
        <v>5319974.99</v>
      </c>
      <c r="G92" s="165">
        <f>G93+G94+G95</f>
        <v>5384388.5199999996</v>
      </c>
      <c r="H92" s="293">
        <f t="shared" ref="H92:H131" si="32">G92/F92*100</f>
        <v>101.21078633115903</v>
      </c>
      <c r="I92" s="268">
        <f t="shared" si="26"/>
        <v>5319974.99</v>
      </c>
      <c r="J92" s="77">
        <f t="shared" si="27"/>
        <v>5384388.5199999996</v>
      </c>
      <c r="K92" s="75">
        <f t="shared" si="28"/>
        <v>101.21078633115903</v>
      </c>
    </row>
    <row r="93" spans="1:11" ht="34.950000000000003" customHeight="1">
      <c r="A93" s="71" t="s">
        <v>312</v>
      </c>
      <c r="B93" s="63" t="s">
        <v>291</v>
      </c>
      <c r="C93" s="153">
        <v>0</v>
      </c>
      <c r="D93" s="154">
        <v>0</v>
      </c>
      <c r="E93" s="109">
        <v>0</v>
      </c>
      <c r="F93" s="301">
        <v>5270074.99</v>
      </c>
      <c r="G93" s="97">
        <v>5302935.55</v>
      </c>
      <c r="H93" s="296">
        <f t="shared" si="32"/>
        <v>100.62353116535063</v>
      </c>
      <c r="I93" s="266">
        <f t="shared" si="26"/>
        <v>5270074.99</v>
      </c>
      <c r="J93" s="31">
        <f t="shared" si="27"/>
        <v>5302935.55</v>
      </c>
      <c r="K93" s="79">
        <f t="shared" si="28"/>
        <v>100.62353116535063</v>
      </c>
    </row>
    <row r="94" spans="1:11" ht="18">
      <c r="A94" s="71" t="s">
        <v>338</v>
      </c>
      <c r="B94" s="63" t="s">
        <v>337</v>
      </c>
      <c r="C94" s="153">
        <v>0</v>
      </c>
      <c r="D94" s="154">
        <v>0</v>
      </c>
      <c r="E94" s="109">
        <v>0</v>
      </c>
      <c r="F94" s="301">
        <v>49900</v>
      </c>
      <c r="G94" s="97">
        <v>73463.47</v>
      </c>
      <c r="H94" s="296">
        <f t="shared" si="32"/>
        <v>147.22138276553108</v>
      </c>
      <c r="I94" s="266">
        <f t="shared" si="26"/>
        <v>49900</v>
      </c>
      <c r="J94" s="31">
        <f t="shared" si="27"/>
        <v>73463.47</v>
      </c>
      <c r="K94" s="79">
        <f t="shared" si="28"/>
        <v>147.22138276553108</v>
      </c>
    </row>
    <row r="95" spans="1:11" ht="51" customHeight="1">
      <c r="A95" s="71" t="s">
        <v>323</v>
      </c>
      <c r="B95" s="63" t="s">
        <v>322</v>
      </c>
      <c r="C95" s="153">
        <v>0</v>
      </c>
      <c r="D95" s="154">
        <v>0</v>
      </c>
      <c r="E95" s="109">
        <v>0</v>
      </c>
      <c r="F95" s="301">
        <v>0</v>
      </c>
      <c r="G95" s="97">
        <v>7989.5</v>
      </c>
      <c r="H95" s="296">
        <v>100</v>
      </c>
      <c r="I95" s="266">
        <f t="shared" ref="I95" si="33">C95+F95</f>
        <v>0</v>
      </c>
      <c r="J95" s="31">
        <f t="shared" ref="J95" si="34">D95+G95</f>
        <v>7989.5</v>
      </c>
      <c r="K95" s="79">
        <v>100</v>
      </c>
    </row>
    <row r="96" spans="1:11" ht="36.450000000000003" customHeight="1">
      <c r="A96" s="184" t="s">
        <v>128</v>
      </c>
      <c r="B96" s="181" t="s">
        <v>129</v>
      </c>
      <c r="C96" s="182">
        <v>0</v>
      </c>
      <c r="D96" s="183">
        <v>0</v>
      </c>
      <c r="E96" s="260">
        <v>0</v>
      </c>
      <c r="F96" s="288">
        <f>F97+F98</f>
        <v>4518056.9800000004</v>
      </c>
      <c r="G96" s="165">
        <f>G97+G98</f>
        <v>4505564.38</v>
      </c>
      <c r="H96" s="293">
        <f t="shared" si="32"/>
        <v>99.723496183087079</v>
      </c>
      <c r="I96" s="268">
        <f t="shared" si="26"/>
        <v>4518056.9800000004</v>
      </c>
      <c r="J96" s="77">
        <f t="shared" si="27"/>
        <v>4505564.38</v>
      </c>
      <c r="K96" s="75">
        <f t="shared" si="28"/>
        <v>99.723496183087079</v>
      </c>
    </row>
    <row r="97" spans="1:11" ht="18">
      <c r="A97" s="71" t="s">
        <v>313</v>
      </c>
      <c r="B97" s="63" t="s">
        <v>288</v>
      </c>
      <c r="C97" s="171">
        <v>0</v>
      </c>
      <c r="D97" s="151">
        <v>0</v>
      </c>
      <c r="E97" s="259">
        <v>0</v>
      </c>
      <c r="F97" s="301">
        <v>4413456.9800000004</v>
      </c>
      <c r="G97" s="97">
        <v>4412634.38</v>
      </c>
      <c r="H97" s="296">
        <f t="shared" si="32"/>
        <v>99.981361549376629</v>
      </c>
      <c r="I97" s="266">
        <f t="shared" si="26"/>
        <v>4413456.9800000004</v>
      </c>
      <c r="J97" s="31">
        <f t="shared" si="27"/>
        <v>4412634.38</v>
      </c>
      <c r="K97" s="79">
        <f t="shared" si="28"/>
        <v>99.981361549376629</v>
      </c>
    </row>
    <row r="98" spans="1:11" ht="112.95" customHeight="1">
      <c r="A98" s="107" t="s">
        <v>314</v>
      </c>
      <c r="B98" s="108" t="s">
        <v>289</v>
      </c>
      <c r="C98" s="172">
        <v>0</v>
      </c>
      <c r="D98" s="173">
        <v>0</v>
      </c>
      <c r="E98" s="109">
        <v>0</v>
      </c>
      <c r="F98" s="303">
        <v>104600</v>
      </c>
      <c r="G98" s="110">
        <v>92930</v>
      </c>
      <c r="H98" s="304">
        <f t="shared" si="32"/>
        <v>88.843212237093695</v>
      </c>
      <c r="I98" s="269">
        <f t="shared" si="26"/>
        <v>104600</v>
      </c>
      <c r="J98" s="103">
        <f t="shared" si="27"/>
        <v>92930</v>
      </c>
      <c r="K98" s="104">
        <f t="shared" si="28"/>
        <v>88.843212237093695</v>
      </c>
    </row>
    <row r="99" spans="1:11" s="21" customFormat="1" ht="29.25" customHeight="1">
      <c r="A99" s="66" t="s">
        <v>130</v>
      </c>
      <c r="B99" s="233" t="s">
        <v>131</v>
      </c>
      <c r="C99" s="161">
        <v>0</v>
      </c>
      <c r="D99" s="161">
        <v>0</v>
      </c>
      <c r="E99" s="261">
        <v>0</v>
      </c>
      <c r="F99" s="286">
        <f>F102+F100</f>
        <v>2775000</v>
      </c>
      <c r="G99" s="98">
        <f>G102+G100</f>
        <v>2910299.29</v>
      </c>
      <c r="H99" s="298">
        <f t="shared" si="32"/>
        <v>104.8756500900901</v>
      </c>
      <c r="I99" s="270">
        <f t="shared" si="26"/>
        <v>2775000</v>
      </c>
      <c r="J99" s="149">
        <f t="shared" si="27"/>
        <v>2910299.29</v>
      </c>
      <c r="K99" s="150">
        <f t="shared" si="28"/>
        <v>104.8756500900901</v>
      </c>
    </row>
    <row r="100" spans="1:11" s="21" customFormat="1" ht="29.25" customHeight="1">
      <c r="A100" s="184" t="s">
        <v>442</v>
      </c>
      <c r="B100" s="234" t="s">
        <v>444</v>
      </c>
      <c r="C100" s="183">
        <v>0</v>
      </c>
      <c r="D100" s="183">
        <v>0</v>
      </c>
      <c r="E100" s="260">
        <v>0</v>
      </c>
      <c r="F100" s="288">
        <f t="shared" ref="F100:G100" si="35">F101</f>
        <v>578700</v>
      </c>
      <c r="G100" s="165">
        <f t="shared" si="35"/>
        <v>583885.48</v>
      </c>
      <c r="H100" s="293">
        <v>100</v>
      </c>
      <c r="I100" s="268">
        <f t="shared" ref="I100:I101" si="36">C100+F100</f>
        <v>578700</v>
      </c>
      <c r="J100" s="77">
        <f t="shared" ref="J100:J101" si="37">D100+G100</f>
        <v>583885.48</v>
      </c>
      <c r="K100" s="75">
        <v>100</v>
      </c>
    </row>
    <row r="101" spans="1:11" s="21" customFormat="1" ht="51" customHeight="1">
      <c r="A101" s="80" t="s">
        <v>443</v>
      </c>
      <c r="B101" s="235" t="s">
        <v>445</v>
      </c>
      <c r="C101" s="155">
        <v>0</v>
      </c>
      <c r="D101" s="155">
        <v>0</v>
      </c>
      <c r="E101" s="88">
        <v>0</v>
      </c>
      <c r="F101" s="305">
        <v>578700</v>
      </c>
      <c r="G101" s="134">
        <v>583885.48</v>
      </c>
      <c r="H101" s="300">
        <v>100</v>
      </c>
      <c r="I101" s="271">
        <f t="shared" si="36"/>
        <v>578700</v>
      </c>
      <c r="J101" s="56">
        <f t="shared" si="37"/>
        <v>583885.48</v>
      </c>
      <c r="K101" s="135">
        <v>100</v>
      </c>
    </row>
    <row r="102" spans="1:11" s="21" customFormat="1" ht="31.2">
      <c r="A102" s="66" t="s">
        <v>132</v>
      </c>
      <c r="B102" s="236" t="s">
        <v>133</v>
      </c>
      <c r="C102" s="164">
        <v>0</v>
      </c>
      <c r="D102" s="164">
        <v>0</v>
      </c>
      <c r="E102" s="87">
        <v>0</v>
      </c>
      <c r="F102" s="306">
        <f>F103</f>
        <v>2196300</v>
      </c>
      <c r="G102" s="111">
        <f>G103</f>
        <v>2326413.81</v>
      </c>
      <c r="H102" s="299">
        <f t="shared" si="32"/>
        <v>105.92422756454036</v>
      </c>
      <c r="I102" s="272">
        <f t="shared" si="26"/>
        <v>2196300</v>
      </c>
      <c r="J102" s="112">
        <f t="shared" si="27"/>
        <v>2326413.81</v>
      </c>
      <c r="K102" s="113">
        <f t="shared" si="28"/>
        <v>105.92422756454036</v>
      </c>
    </row>
    <row r="103" spans="1:11" ht="18">
      <c r="A103" s="185" t="s">
        <v>134</v>
      </c>
      <c r="B103" s="176" t="s">
        <v>135</v>
      </c>
      <c r="C103" s="311">
        <f>C104+C105</f>
        <v>0</v>
      </c>
      <c r="D103" s="311">
        <f>D104+D105</f>
        <v>0</v>
      </c>
      <c r="E103" s="177">
        <v>0</v>
      </c>
      <c r="F103" s="312">
        <f>F104+F105</f>
        <v>2196300</v>
      </c>
      <c r="G103" s="312">
        <f>G104+G105</f>
        <v>2326413.81</v>
      </c>
      <c r="H103" s="293">
        <f t="shared" si="32"/>
        <v>105.92422756454036</v>
      </c>
      <c r="I103" s="268">
        <f t="shared" si="26"/>
        <v>2196300</v>
      </c>
      <c r="J103" s="77">
        <f t="shared" si="27"/>
        <v>2326413.81</v>
      </c>
      <c r="K103" s="75">
        <f t="shared" si="28"/>
        <v>105.92422756454036</v>
      </c>
    </row>
    <row r="104" spans="1:11" ht="78">
      <c r="A104" s="61" t="s">
        <v>136</v>
      </c>
      <c r="B104" s="63" t="s">
        <v>137</v>
      </c>
      <c r="C104" s="151">
        <v>0</v>
      </c>
      <c r="D104" s="151">
        <v>0</v>
      </c>
      <c r="E104" s="313">
        <v>0</v>
      </c>
      <c r="F104" s="99">
        <v>1931400</v>
      </c>
      <c r="G104" s="99">
        <v>1995647.03</v>
      </c>
      <c r="H104" s="304">
        <f t="shared" si="32"/>
        <v>103.32644869006937</v>
      </c>
      <c r="I104" s="269">
        <f t="shared" si="26"/>
        <v>1931400</v>
      </c>
      <c r="J104" s="103">
        <f t="shared" si="27"/>
        <v>1995647.03</v>
      </c>
      <c r="K104" s="104">
        <f t="shared" si="28"/>
        <v>103.32644869006937</v>
      </c>
    </row>
    <row r="105" spans="1:11" ht="79.95" customHeight="1" thickBot="1">
      <c r="A105" s="121" t="s">
        <v>494</v>
      </c>
      <c r="B105" s="108" t="s">
        <v>492</v>
      </c>
      <c r="C105" s="173">
        <v>0</v>
      </c>
      <c r="D105" s="173">
        <v>0</v>
      </c>
      <c r="E105" s="317">
        <v>0</v>
      </c>
      <c r="F105" s="102">
        <v>264900</v>
      </c>
      <c r="G105" s="102">
        <v>330766.78000000003</v>
      </c>
      <c r="H105" s="304">
        <v>100</v>
      </c>
      <c r="I105" s="269">
        <f t="shared" ref="I105" si="38">C105+F105</f>
        <v>264900</v>
      </c>
      <c r="J105" s="103">
        <f t="shared" ref="J105" si="39">D105+G105</f>
        <v>330766.78000000003</v>
      </c>
      <c r="K105" s="104">
        <v>100</v>
      </c>
    </row>
    <row r="106" spans="1:11" s="21" customFormat="1" ht="43.95" customHeight="1" thickBot="1">
      <c r="A106" s="237" t="s">
        <v>138</v>
      </c>
      <c r="B106" s="239" t="s">
        <v>139</v>
      </c>
      <c r="C106" s="318">
        <f>C14+C65+C99</f>
        <v>311945693</v>
      </c>
      <c r="D106" s="318">
        <f>D14+D65+D99</f>
        <v>333639953.71999997</v>
      </c>
      <c r="E106" s="319">
        <f t="shared" si="25"/>
        <v>106.95449919867943</v>
      </c>
      <c r="F106" s="157">
        <f>F14+F65+F99</f>
        <v>13166031.970000001</v>
      </c>
      <c r="G106" s="156">
        <f>G14+G65+G99</f>
        <v>13644934.169999998</v>
      </c>
      <c r="H106" s="159">
        <f t="shared" si="32"/>
        <v>103.63740723925947</v>
      </c>
      <c r="I106" s="156">
        <f t="shared" si="26"/>
        <v>325111724.97000003</v>
      </c>
      <c r="J106" s="158">
        <f t="shared" si="27"/>
        <v>347284887.88999999</v>
      </c>
      <c r="K106" s="159">
        <f t="shared" si="28"/>
        <v>106.82016710472253</v>
      </c>
    </row>
    <row r="107" spans="1:11" s="21" customFormat="1" ht="22.95" customHeight="1">
      <c r="A107" s="42" t="s">
        <v>140</v>
      </c>
      <c r="B107" s="50" t="s">
        <v>141</v>
      </c>
      <c r="C107" s="164">
        <f>C108</f>
        <v>123815300</v>
      </c>
      <c r="D107" s="164">
        <f>D108</f>
        <v>122469593.59</v>
      </c>
      <c r="E107" s="101">
        <f t="shared" si="25"/>
        <v>98.91313399071035</v>
      </c>
      <c r="F107" s="275">
        <f>F108</f>
        <v>3489800</v>
      </c>
      <c r="G107" s="91">
        <f>G108</f>
        <v>3489800</v>
      </c>
      <c r="H107" s="297">
        <f t="shared" si="32"/>
        <v>100</v>
      </c>
      <c r="I107" s="143">
        <f t="shared" si="26"/>
        <v>127305100</v>
      </c>
      <c r="J107" s="23">
        <f t="shared" si="27"/>
        <v>125959393.59</v>
      </c>
      <c r="K107" s="35">
        <f t="shared" si="28"/>
        <v>98.942928123068128</v>
      </c>
    </row>
    <row r="108" spans="1:11" s="21" customFormat="1" ht="17.399999999999999">
      <c r="A108" s="114" t="s">
        <v>142</v>
      </c>
      <c r="B108" s="50" t="s">
        <v>143</v>
      </c>
      <c r="C108" s="152">
        <f>C109+C111</f>
        <v>123815300</v>
      </c>
      <c r="D108" s="152">
        <f>D109+D111</f>
        <v>122469593.59</v>
      </c>
      <c r="E108" s="101">
        <f t="shared" si="25"/>
        <v>98.91313399071035</v>
      </c>
      <c r="F108" s="275">
        <f>F111</f>
        <v>3489800</v>
      </c>
      <c r="G108" s="140">
        <f>G111</f>
        <v>3489800</v>
      </c>
      <c r="H108" s="297">
        <f t="shared" si="32"/>
        <v>100</v>
      </c>
      <c r="I108" s="143">
        <f t="shared" si="26"/>
        <v>127305100</v>
      </c>
      <c r="J108" s="23">
        <f t="shared" si="27"/>
        <v>125959393.59</v>
      </c>
      <c r="K108" s="35">
        <f t="shared" si="28"/>
        <v>98.942928123068128</v>
      </c>
    </row>
    <row r="109" spans="1:11" s="21" customFormat="1" ht="18">
      <c r="A109" s="241" t="s">
        <v>316</v>
      </c>
      <c r="B109" s="52" t="s">
        <v>290</v>
      </c>
      <c r="C109" s="163">
        <f>C110</f>
        <v>484400</v>
      </c>
      <c r="D109" s="163">
        <f>D110</f>
        <v>484400</v>
      </c>
      <c r="E109" s="87">
        <f t="shared" si="25"/>
        <v>100</v>
      </c>
      <c r="F109" s="281">
        <v>0</v>
      </c>
      <c r="G109" s="166">
        <v>0</v>
      </c>
      <c r="H109" s="293">
        <v>0</v>
      </c>
      <c r="I109" s="175">
        <f t="shared" ref="I109:I110" si="40">C109+F109</f>
        <v>484400</v>
      </c>
      <c r="J109" s="28">
        <f t="shared" ref="J109:J110" si="41">D109+G109</f>
        <v>484400</v>
      </c>
      <c r="K109" s="34">
        <f t="shared" si="28"/>
        <v>100</v>
      </c>
    </row>
    <row r="110" spans="1:11" ht="109.2">
      <c r="A110" s="64" t="s">
        <v>529</v>
      </c>
      <c r="B110" s="48" t="s">
        <v>528</v>
      </c>
      <c r="C110" s="153">
        <v>484400</v>
      </c>
      <c r="D110" s="153">
        <v>484400</v>
      </c>
      <c r="E110" s="88">
        <f t="shared" si="25"/>
        <v>100</v>
      </c>
      <c r="F110" s="279">
        <v>0</v>
      </c>
      <c r="G110" s="89">
        <v>0</v>
      </c>
      <c r="H110" s="290">
        <v>0</v>
      </c>
      <c r="I110" s="142">
        <f t="shared" si="40"/>
        <v>484400</v>
      </c>
      <c r="J110" s="22">
        <f t="shared" si="41"/>
        <v>484400</v>
      </c>
      <c r="K110" s="32">
        <f t="shared" si="28"/>
        <v>100</v>
      </c>
    </row>
    <row r="111" spans="1:11" s="25" customFormat="1" ht="32.4">
      <c r="A111" s="44" t="s">
        <v>144</v>
      </c>
      <c r="B111" s="49" t="s">
        <v>145</v>
      </c>
      <c r="C111" s="163">
        <f>C112+C113</f>
        <v>123330900</v>
      </c>
      <c r="D111" s="163">
        <f>D112+D113</f>
        <v>121985193.59</v>
      </c>
      <c r="E111" s="254">
        <f t="shared" si="25"/>
        <v>98.908865166799245</v>
      </c>
      <c r="F111" s="277">
        <f>F112+F113+F114</f>
        <v>3489800</v>
      </c>
      <c r="G111" s="277">
        <f>G112+G113+G114</f>
        <v>3489800</v>
      </c>
      <c r="H111" s="293">
        <f t="shared" si="32"/>
        <v>100</v>
      </c>
      <c r="I111" s="141">
        <f t="shared" si="26"/>
        <v>126820700</v>
      </c>
      <c r="J111" s="24">
        <f t="shared" si="27"/>
        <v>125474993.59</v>
      </c>
      <c r="K111" s="33">
        <f t="shared" si="28"/>
        <v>98.938890567549308</v>
      </c>
    </row>
    <row r="112" spans="1:11" s="25" customFormat="1" ht="62.4">
      <c r="A112" s="45" t="s">
        <v>531</v>
      </c>
      <c r="B112" s="48" t="s">
        <v>530</v>
      </c>
      <c r="C112" s="153">
        <v>2916300</v>
      </c>
      <c r="D112" s="153">
        <v>1570593.59</v>
      </c>
      <c r="E112" s="88">
        <f t="shared" ref="E112" si="42">D112/C112*100</f>
        <v>53.855693515756265</v>
      </c>
      <c r="F112" s="279">
        <v>3408400</v>
      </c>
      <c r="G112" s="139">
        <v>3408400</v>
      </c>
      <c r="H112" s="343">
        <f t="shared" si="32"/>
        <v>100</v>
      </c>
      <c r="I112" s="142">
        <f t="shared" ref="I112" si="43">C112+F112</f>
        <v>6324700</v>
      </c>
      <c r="J112" s="22">
        <f t="shared" ref="J112" si="44">D112+G112</f>
        <v>4978993.59</v>
      </c>
      <c r="K112" s="32">
        <f t="shared" ref="K112" si="45">J112/I112*100</f>
        <v>78.723000142299242</v>
      </c>
    </row>
    <row r="113" spans="1:12" ht="31.2">
      <c r="A113" s="43" t="s">
        <v>146</v>
      </c>
      <c r="B113" s="48" t="s">
        <v>147</v>
      </c>
      <c r="C113" s="153">
        <v>120414600</v>
      </c>
      <c r="D113" s="153">
        <v>120414600</v>
      </c>
      <c r="E113" s="88">
        <f t="shared" si="25"/>
        <v>100</v>
      </c>
      <c r="F113" s="279">
        <v>0</v>
      </c>
      <c r="G113" s="139">
        <v>0</v>
      </c>
      <c r="H113" s="343">
        <v>0</v>
      </c>
      <c r="I113" s="142">
        <f t="shared" si="26"/>
        <v>120414600</v>
      </c>
      <c r="J113" s="22">
        <f t="shared" si="27"/>
        <v>120414600</v>
      </c>
      <c r="K113" s="32">
        <f t="shared" si="28"/>
        <v>100</v>
      </c>
    </row>
    <row r="114" spans="1:12" ht="58.5" customHeight="1" thickBot="1">
      <c r="A114" s="43" t="s">
        <v>533</v>
      </c>
      <c r="B114" s="48" t="s">
        <v>532</v>
      </c>
      <c r="C114" s="154">
        <v>0</v>
      </c>
      <c r="D114" s="154">
        <v>0</v>
      </c>
      <c r="E114" s="88">
        <v>0</v>
      </c>
      <c r="F114" s="279">
        <v>81400</v>
      </c>
      <c r="G114" s="89">
        <v>81400</v>
      </c>
      <c r="H114" s="304">
        <f t="shared" si="32"/>
        <v>100</v>
      </c>
      <c r="I114" s="142">
        <f t="shared" si="26"/>
        <v>81400</v>
      </c>
      <c r="J114" s="22">
        <f t="shared" si="27"/>
        <v>81400</v>
      </c>
      <c r="K114" s="32">
        <f t="shared" si="28"/>
        <v>100</v>
      </c>
    </row>
    <row r="115" spans="1:12" s="251" customFormat="1" ht="55.95" customHeight="1" thickBot="1">
      <c r="A115" s="237" t="s">
        <v>148</v>
      </c>
      <c r="B115" s="238" t="s">
        <v>149</v>
      </c>
      <c r="C115" s="320">
        <f>C106+C107</f>
        <v>435760993</v>
      </c>
      <c r="D115" s="321">
        <f>D106+D107</f>
        <v>456109547.30999994</v>
      </c>
      <c r="E115" s="264">
        <f t="shared" si="25"/>
        <v>104.66965943186199</v>
      </c>
      <c r="F115" s="157">
        <f>F106+F107</f>
        <v>16655831.970000001</v>
      </c>
      <c r="G115" s="156">
        <f>G106+G107</f>
        <v>17134734.169999998</v>
      </c>
      <c r="H115" s="159">
        <f t="shared" si="32"/>
        <v>102.87528236873776</v>
      </c>
      <c r="I115" s="156">
        <f t="shared" si="26"/>
        <v>452416824.97000003</v>
      </c>
      <c r="J115" s="158">
        <f t="shared" si="27"/>
        <v>473244281.47999996</v>
      </c>
      <c r="K115" s="159">
        <f t="shared" si="28"/>
        <v>104.60359901764949</v>
      </c>
    </row>
    <row r="116" spans="1:12" s="21" customFormat="1" ht="31.2">
      <c r="A116" s="130" t="s">
        <v>150</v>
      </c>
      <c r="B116" s="131" t="s">
        <v>151</v>
      </c>
      <c r="C116" s="162">
        <f>C117+C118</f>
        <v>4316580</v>
      </c>
      <c r="D116" s="162">
        <f>D117+D118</f>
        <v>4316580</v>
      </c>
      <c r="E116" s="262">
        <f t="shared" si="25"/>
        <v>100</v>
      </c>
      <c r="F116" s="307">
        <f>F117+F118</f>
        <v>0</v>
      </c>
      <c r="G116" s="148">
        <f>G117+G118</f>
        <v>0</v>
      </c>
      <c r="H116" s="308">
        <v>0</v>
      </c>
      <c r="I116" s="273">
        <f t="shared" si="26"/>
        <v>4316580</v>
      </c>
      <c r="J116" s="132">
        <f t="shared" si="27"/>
        <v>4316580</v>
      </c>
      <c r="K116" s="133">
        <f t="shared" si="28"/>
        <v>100</v>
      </c>
    </row>
    <row r="117" spans="1:12" ht="30" customHeight="1">
      <c r="A117" s="61" t="s">
        <v>481</v>
      </c>
      <c r="B117" s="63" t="s">
        <v>480</v>
      </c>
      <c r="C117" s="151">
        <v>4316580</v>
      </c>
      <c r="D117" s="151">
        <v>4316580</v>
      </c>
      <c r="E117" s="259">
        <f t="shared" si="25"/>
        <v>100</v>
      </c>
      <c r="F117" s="301">
        <v>0</v>
      </c>
      <c r="G117" s="97">
        <v>0</v>
      </c>
      <c r="H117" s="296">
        <v>0</v>
      </c>
      <c r="I117" s="266">
        <f t="shared" si="26"/>
        <v>4316580</v>
      </c>
      <c r="J117" s="31">
        <f t="shared" si="27"/>
        <v>4316580</v>
      </c>
      <c r="K117" s="79">
        <f t="shared" si="28"/>
        <v>100</v>
      </c>
    </row>
    <row r="118" spans="1:12" ht="123.45" hidden="1" customHeight="1" thickBot="1">
      <c r="A118" s="61" t="s">
        <v>438</v>
      </c>
      <c r="B118" s="63" t="s">
        <v>439</v>
      </c>
      <c r="C118" s="151">
        <v>0</v>
      </c>
      <c r="D118" s="151">
        <v>0</v>
      </c>
      <c r="E118" s="259" t="e">
        <f t="shared" ref="E118" si="46">D118/C118*100</f>
        <v>#DIV/0!</v>
      </c>
      <c r="F118" s="301">
        <v>0</v>
      </c>
      <c r="G118" s="97">
        <v>0</v>
      </c>
      <c r="H118" s="296">
        <v>0</v>
      </c>
      <c r="I118" s="266">
        <f t="shared" ref="I118" si="47">C118+F118</f>
        <v>0</v>
      </c>
      <c r="J118" s="31">
        <f t="shared" ref="J118" si="48">D118+G118</f>
        <v>0</v>
      </c>
      <c r="K118" s="79" t="e">
        <f t="shared" ref="K118" si="49">J118/I118*100</f>
        <v>#DIV/0!</v>
      </c>
    </row>
    <row r="119" spans="1:12" s="21" customFormat="1" ht="32.4">
      <c r="A119" s="184" t="s">
        <v>152</v>
      </c>
      <c r="B119" s="181" t="s">
        <v>153</v>
      </c>
      <c r="C119" s="183">
        <f>C120+C122+C124+C127+C130+C123</f>
        <v>3905031</v>
      </c>
      <c r="D119" s="183">
        <f>D120+D122+D124+D127+D130+D123</f>
        <v>3881542.2199999997</v>
      </c>
      <c r="E119" s="260">
        <f t="shared" si="25"/>
        <v>99.398499525355874</v>
      </c>
      <c r="F119" s="309">
        <f>F120+F121+F122+F124+F126+F127+F128+F125</f>
        <v>2785988</v>
      </c>
      <c r="G119" s="240">
        <f>G120+G121+G122+G124+G126+G127+G128+G125</f>
        <v>2320372.62</v>
      </c>
      <c r="H119" s="322">
        <f t="shared" si="32"/>
        <v>83.287243879011683</v>
      </c>
      <c r="I119" s="268">
        <f t="shared" si="26"/>
        <v>6691019</v>
      </c>
      <c r="J119" s="77">
        <f t="shared" si="27"/>
        <v>6201914.8399999999</v>
      </c>
      <c r="K119" s="75">
        <f t="shared" si="28"/>
        <v>92.690139424204304</v>
      </c>
    </row>
    <row r="120" spans="1:12" s="126" customFormat="1" ht="46.8">
      <c r="A120" s="61" t="s">
        <v>343</v>
      </c>
      <c r="B120" s="63" t="s">
        <v>342</v>
      </c>
      <c r="C120" s="160">
        <v>1330600</v>
      </c>
      <c r="D120" s="160">
        <v>1329370.01</v>
      </c>
      <c r="E120" s="263">
        <f t="shared" si="25"/>
        <v>99.90756125056366</v>
      </c>
      <c r="F120" s="310">
        <v>0</v>
      </c>
      <c r="G120" s="100">
        <v>0</v>
      </c>
      <c r="H120" s="304">
        <v>0</v>
      </c>
      <c r="I120" s="271">
        <f t="shared" si="26"/>
        <v>1330600</v>
      </c>
      <c r="J120" s="56">
        <f t="shared" si="27"/>
        <v>1329370.01</v>
      </c>
      <c r="K120" s="135">
        <f t="shared" si="28"/>
        <v>99.90756125056366</v>
      </c>
    </row>
    <row r="121" spans="1:12" s="126" customFormat="1" ht="55.95" customHeight="1">
      <c r="A121" s="61" t="s">
        <v>422</v>
      </c>
      <c r="B121" s="81" t="s">
        <v>421</v>
      </c>
      <c r="C121" s="151">
        <v>0</v>
      </c>
      <c r="D121" s="151">
        <v>0</v>
      </c>
      <c r="E121" s="263">
        <v>0</v>
      </c>
      <c r="F121" s="301">
        <v>2189122</v>
      </c>
      <c r="G121" s="97">
        <v>2188982.2200000002</v>
      </c>
      <c r="H121" s="304">
        <f t="shared" si="32"/>
        <v>99.993614791683612</v>
      </c>
      <c r="I121" s="266">
        <f t="shared" si="26"/>
        <v>2189122</v>
      </c>
      <c r="J121" s="31">
        <f t="shared" si="27"/>
        <v>2188982.2200000002</v>
      </c>
      <c r="K121" s="79">
        <f t="shared" ref="K121:K123" si="50">J121/I121*100</f>
        <v>99.993614791683612</v>
      </c>
    </row>
    <row r="122" spans="1:12" s="21" customFormat="1" ht="69" customHeight="1">
      <c r="A122" s="80" t="s">
        <v>286</v>
      </c>
      <c r="B122" s="81" t="s">
        <v>285</v>
      </c>
      <c r="C122" s="151">
        <v>254504</v>
      </c>
      <c r="D122" s="151">
        <v>254327.01</v>
      </c>
      <c r="E122" s="259">
        <f t="shared" ref="E122:E123" si="51">D122/C122*100</f>
        <v>99.930456888693314</v>
      </c>
      <c r="F122" s="301">
        <v>0</v>
      </c>
      <c r="G122" s="97">
        <v>0</v>
      </c>
      <c r="H122" s="296">
        <v>0</v>
      </c>
      <c r="I122" s="266">
        <f t="shared" ref="I122:I123" si="52">C122+F122</f>
        <v>254504</v>
      </c>
      <c r="J122" s="31">
        <f t="shared" ref="J122:J123" si="53">D122+G122</f>
        <v>254327.01</v>
      </c>
      <c r="K122" s="79">
        <f t="shared" si="50"/>
        <v>99.930456888693314</v>
      </c>
    </row>
    <row r="123" spans="1:12" s="21" customFormat="1" ht="69" customHeight="1">
      <c r="A123" s="80" t="s">
        <v>319</v>
      </c>
      <c r="B123" s="146" t="s">
        <v>534</v>
      </c>
      <c r="C123" s="155">
        <v>1586369</v>
      </c>
      <c r="D123" s="155">
        <v>1586369</v>
      </c>
      <c r="E123" s="259">
        <f t="shared" si="51"/>
        <v>100</v>
      </c>
      <c r="F123" s="310">
        <v>0</v>
      </c>
      <c r="G123" s="100">
        <v>0</v>
      </c>
      <c r="H123" s="300">
        <v>0</v>
      </c>
      <c r="I123" s="271">
        <f t="shared" si="52"/>
        <v>1586369</v>
      </c>
      <c r="J123" s="56">
        <f t="shared" si="53"/>
        <v>1586369</v>
      </c>
      <c r="K123" s="79">
        <f t="shared" si="50"/>
        <v>100</v>
      </c>
    </row>
    <row r="124" spans="1:12" s="21" customFormat="1" ht="67.5" customHeight="1">
      <c r="A124" s="80" t="s">
        <v>509</v>
      </c>
      <c r="B124" s="146" t="s">
        <v>508</v>
      </c>
      <c r="C124" s="155">
        <v>116000</v>
      </c>
      <c r="D124" s="155">
        <v>112368.2</v>
      </c>
      <c r="E124" s="259">
        <f t="shared" si="25"/>
        <v>96.869137931034473</v>
      </c>
      <c r="F124" s="310">
        <v>0</v>
      </c>
      <c r="G124" s="100">
        <v>0</v>
      </c>
      <c r="H124" s="300">
        <v>0</v>
      </c>
      <c r="I124" s="271">
        <f t="shared" ref="I124:I126" si="54">C124+F124</f>
        <v>116000</v>
      </c>
      <c r="J124" s="56">
        <f t="shared" ref="J124:J126" si="55">D124+G124</f>
        <v>112368.2</v>
      </c>
      <c r="K124" s="79">
        <f t="shared" ref="K124:K126" si="56">J124/I124*100</f>
        <v>96.869137931034473</v>
      </c>
    </row>
    <row r="125" spans="1:12" s="21" customFormat="1" ht="97.95" hidden="1" customHeight="1">
      <c r="A125" s="80" t="s">
        <v>441</v>
      </c>
      <c r="B125" s="146" t="s">
        <v>440</v>
      </c>
      <c r="C125" s="155">
        <v>0</v>
      </c>
      <c r="D125" s="155">
        <v>0</v>
      </c>
      <c r="E125" s="259">
        <v>0</v>
      </c>
      <c r="F125" s="310">
        <v>0</v>
      </c>
      <c r="G125" s="100">
        <v>0</v>
      </c>
      <c r="H125" s="304" t="e">
        <f t="shared" si="32"/>
        <v>#DIV/0!</v>
      </c>
      <c r="I125" s="271">
        <f t="shared" ref="I125" si="57">C125+F125</f>
        <v>0</v>
      </c>
      <c r="J125" s="56">
        <f t="shared" ref="J125" si="58">D125+G125</f>
        <v>0</v>
      </c>
      <c r="K125" s="79" t="e">
        <f t="shared" si="56"/>
        <v>#DIV/0!</v>
      </c>
      <c r="L125" s="79"/>
    </row>
    <row r="126" spans="1:12" s="21" customFormat="1" ht="42" hidden="1" customHeight="1">
      <c r="A126" s="80" t="s">
        <v>402</v>
      </c>
      <c r="B126" s="147" t="s">
        <v>400</v>
      </c>
      <c r="C126" s="151">
        <v>0</v>
      </c>
      <c r="D126" s="151">
        <v>0</v>
      </c>
      <c r="E126" s="259">
        <v>0</v>
      </c>
      <c r="F126" s="301">
        <v>0</v>
      </c>
      <c r="G126" s="97">
        <v>0</v>
      </c>
      <c r="H126" s="304" t="e">
        <f t="shared" si="32"/>
        <v>#DIV/0!</v>
      </c>
      <c r="I126" s="266">
        <f t="shared" si="54"/>
        <v>0</v>
      </c>
      <c r="J126" s="31">
        <f t="shared" si="55"/>
        <v>0</v>
      </c>
      <c r="K126" s="79" t="e">
        <f t="shared" si="56"/>
        <v>#DIV/0!</v>
      </c>
    </row>
    <row r="127" spans="1:12" ht="24.75" customHeight="1">
      <c r="A127" s="47" t="s">
        <v>264</v>
      </c>
      <c r="B127" s="55" t="s">
        <v>273</v>
      </c>
      <c r="C127" s="154">
        <v>451238</v>
      </c>
      <c r="D127" s="154">
        <v>432859.6</v>
      </c>
      <c r="E127" s="259">
        <f t="shared" si="25"/>
        <v>95.927116067352486</v>
      </c>
      <c r="F127" s="301">
        <v>596866</v>
      </c>
      <c r="G127" s="97">
        <v>131390.39999999999</v>
      </c>
      <c r="H127" s="304">
        <f t="shared" si="32"/>
        <v>22.013383238448831</v>
      </c>
      <c r="I127" s="266">
        <f t="shared" si="26"/>
        <v>1048104</v>
      </c>
      <c r="J127" s="31">
        <f t="shared" si="27"/>
        <v>564250</v>
      </c>
      <c r="K127" s="37">
        <f t="shared" si="28"/>
        <v>53.835306419973591</v>
      </c>
    </row>
    <row r="128" spans="1:12" ht="67.05" hidden="1" customHeight="1">
      <c r="A128" s="61" t="s">
        <v>483</v>
      </c>
      <c r="B128" s="63" t="s">
        <v>482</v>
      </c>
      <c r="C128" s="314">
        <v>0</v>
      </c>
      <c r="D128" s="154">
        <v>0</v>
      </c>
      <c r="E128" s="259" t="e">
        <f t="shared" ref="E128" si="59">D128/C128*100</f>
        <v>#DIV/0!</v>
      </c>
      <c r="F128" s="301">
        <v>0</v>
      </c>
      <c r="G128" s="97">
        <v>0</v>
      </c>
      <c r="H128" s="295">
        <v>0</v>
      </c>
      <c r="I128" s="266">
        <f t="shared" ref="I128" si="60">C128+F128</f>
        <v>0</v>
      </c>
      <c r="J128" s="31">
        <f t="shared" ref="J128" si="61">D128+G128</f>
        <v>0</v>
      </c>
      <c r="K128" s="37" t="e">
        <f t="shared" ref="K128" si="62">J128/I128*100</f>
        <v>#DIV/0!</v>
      </c>
    </row>
    <row r="129" spans="1:11" ht="67.05" hidden="1" customHeight="1">
      <c r="A129" s="61" t="s">
        <v>495</v>
      </c>
      <c r="B129" s="63" t="s">
        <v>493</v>
      </c>
      <c r="C129" s="314">
        <v>0</v>
      </c>
      <c r="D129" s="154">
        <v>0</v>
      </c>
      <c r="E129" s="259" t="e">
        <f t="shared" ref="E129:E130" si="63">D129/C129*100</f>
        <v>#DIV/0!</v>
      </c>
      <c r="F129" s="301">
        <v>0</v>
      </c>
      <c r="G129" s="97">
        <v>0</v>
      </c>
      <c r="H129" s="295">
        <v>0</v>
      </c>
      <c r="I129" s="266">
        <f t="shared" ref="I129:I130" si="64">C129+F129</f>
        <v>0</v>
      </c>
      <c r="J129" s="31">
        <f t="shared" ref="J129:J130" si="65">D129+G129</f>
        <v>0</v>
      </c>
      <c r="K129" s="37" t="e">
        <f t="shared" ref="K129:K130" si="66">J129/I129*100</f>
        <v>#DIV/0!</v>
      </c>
    </row>
    <row r="130" spans="1:11" ht="67.05" customHeight="1" thickBot="1">
      <c r="A130" s="61" t="s">
        <v>483</v>
      </c>
      <c r="B130" s="63" t="s">
        <v>482</v>
      </c>
      <c r="C130" s="314">
        <v>166320</v>
      </c>
      <c r="D130" s="154">
        <v>166248.4</v>
      </c>
      <c r="E130" s="259">
        <f t="shared" si="63"/>
        <v>99.956950456950452</v>
      </c>
      <c r="F130" s="301">
        <v>0</v>
      </c>
      <c r="G130" s="97">
        <v>0</v>
      </c>
      <c r="H130" s="295">
        <v>0</v>
      </c>
      <c r="I130" s="266">
        <f t="shared" si="64"/>
        <v>166320</v>
      </c>
      <c r="J130" s="31">
        <f t="shared" si="65"/>
        <v>166248.4</v>
      </c>
      <c r="K130" s="37">
        <f t="shared" si="66"/>
        <v>99.956950456950452</v>
      </c>
    </row>
    <row r="131" spans="1:11" s="21" customFormat="1" ht="43.5" customHeight="1" thickBot="1">
      <c r="A131" s="315" t="s">
        <v>154</v>
      </c>
      <c r="B131" s="316" t="s">
        <v>155</v>
      </c>
      <c r="C131" s="105">
        <f>C115+C116+C119</f>
        <v>443982604</v>
      </c>
      <c r="D131" s="105">
        <f>D115+D116+D119</f>
        <v>464307669.52999997</v>
      </c>
      <c r="E131" s="264">
        <f t="shared" si="25"/>
        <v>104.57789682453414</v>
      </c>
      <c r="F131" s="157">
        <f>F115+F119</f>
        <v>19441819.969999999</v>
      </c>
      <c r="G131" s="156">
        <f>G115+G119</f>
        <v>19455106.789999999</v>
      </c>
      <c r="H131" s="159">
        <f t="shared" si="32"/>
        <v>100.06834144139027</v>
      </c>
      <c r="I131" s="156">
        <f t="shared" si="26"/>
        <v>463424423.97000003</v>
      </c>
      <c r="J131" s="158">
        <f t="shared" si="27"/>
        <v>483762776.31999999</v>
      </c>
      <c r="K131" s="159">
        <f t="shared" si="28"/>
        <v>104.3887096359247</v>
      </c>
    </row>
    <row r="132" spans="1:11" s="610" customFormat="1" ht="43.5" customHeight="1">
      <c r="A132" s="605"/>
      <c r="B132" s="606"/>
      <c r="C132" s="607"/>
      <c r="D132" s="607"/>
      <c r="E132" s="608"/>
      <c r="F132" s="609"/>
      <c r="G132" s="609"/>
      <c r="H132" s="608"/>
      <c r="I132" s="609"/>
      <c r="J132" s="609"/>
      <c r="K132" s="608"/>
    </row>
    <row r="133" spans="1:11" ht="18.600000000000001" customHeight="1">
      <c r="A133" s="427" t="s">
        <v>643</v>
      </c>
      <c r="B133" s="349"/>
      <c r="C133" s="349"/>
      <c r="D133" s="349"/>
      <c r="E133" s="349"/>
      <c r="F133" s="16"/>
      <c r="G133" s="16"/>
      <c r="H133" s="16"/>
      <c r="I133" s="428" t="s">
        <v>623</v>
      </c>
      <c r="J133" s="428"/>
    </row>
    <row r="134" spans="1:11" hidden="1">
      <c r="F134" s="82"/>
      <c r="G134" s="82"/>
    </row>
    <row r="135" spans="1:11">
      <c r="F135" s="82"/>
      <c r="G135" s="82"/>
    </row>
    <row r="136" spans="1:11">
      <c r="F136" s="82"/>
      <c r="G136" s="82"/>
    </row>
    <row r="137" spans="1:11">
      <c r="F137" s="82"/>
      <c r="G137" s="82"/>
    </row>
    <row r="138" spans="1:11">
      <c r="F138" s="82"/>
      <c r="G138" s="82"/>
    </row>
    <row r="139" spans="1:11">
      <c r="F139" s="82"/>
      <c r="G139" s="82"/>
    </row>
    <row r="140" spans="1:11">
      <c r="F140" s="82"/>
      <c r="G140" s="82"/>
    </row>
    <row r="141" spans="1:11">
      <c r="F141" s="82"/>
      <c r="G141" s="82"/>
    </row>
    <row r="142" spans="1:11">
      <c r="F142" s="82"/>
      <c r="G142" s="82"/>
    </row>
    <row r="143" spans="1:11">
      <c r="F143" s="82"/>
      <c r="G143" s="82"/>
    </row>
  </sheetData>
  <sheetProtection selectLockedCells="1" selectUnlockedCells="1"/>
  <mergeCells count="19">
    <mergeCell ref="A13:K13"/>
    <mergeCell ref="F11:F12"/>
    <mergeCell ref="G11:G12"/>
    <mergeCell ref="I11:I12"/>
    <mergeCell ref="B10:B12"/>
    <mergeCell ref="E11:E12"/>
    <mergeCell ref="C10:E10"/>
    <mergeCell ref="K11:K12"/>
    <mergeCell ref="J11:J12"/>
    <mergeCell ref="H11:H12"/>
    <mergeCell ref="F10:H10"/>
    <mergeCell ref="A10:A12"/>
    <mergeCell ref="C11:C12"/>
    <mergeCell ref="D11:D12"/>
    <mergeCell ref="A5:K5"/>
    <mergeCell ref="A6:K6"/>
    <mergeCell ref="I10:K10"/>
    <mergeCell ref="A7:B7"/>
    <mergeCell ref="A8:B8"/>
  </mergeCells>
  <pageMargins left="0.19685039370078741" right="0.19685039370078741" top="0.39370078740157483" bottom="0.19685039370078741" header="0.39370078740157483" footer="0.19685039370078741"/>
  <pageSetup paperSize="9" scale="65" firstPageNumber="0" fitToHeight="1000" orientation="landscape" verticalDpi="300" r:id="rId1"/>
  <headerFooter alignWithMargins="0"/>
</worksheet>
</file>

<file path=xl/worksheets/sheet2.xml><?xml version="1.0" encoding="utf-8"?>
<worksheet xmlns="http://schemas.openxmlformats.org/spreadsheetml/2006/main" xmlns:r="http://schemas.openxmlformats.org/officeDocument/2006/relationships">
  <dimension ref="A1:X170"/>
  <sheetViews>
    <sheetView view="pageBreakPreview" zoomScale="71" zoomScaleNormal="79" zoomScaleSheetLayoutView="71" workbookViewId="0">
      <selection activeCell="I4" sqref="I4"/>
    </sheetView>
  </sheetViews>
  <sheetFormatPr defaultRowHeight="13.2"/>
  <cols>
    <col min="1" max="1" width="48" style="1" customWidth="1"/>
    <col min="2" max="2" width="12.21875" style="2" customWidth="1"/>
    <col min="3" max="3" width="19.21875" style="1" customWidth="1"/>
    <col min="4" max="4" width="20.77734375" style="1" customWidth="1"/>
    <col min="5" max="5" width="11.44140625" style="1" customWidth="1"/>
    <col min="6" max="6" width="18.33203125" style="1" customWidth="1"/>
    <col min="7" max="7" width="17.5546875" style="1" customWidth="1"/>
    <col min="8" max="8" width="11.77734375" style="1" customWidth="1"/>
    <col min="9" max="9" width="19.5546875" style="1" customWidth="1"/>
    <col min="10" max="10" width="21.109375" style="1" customWidth="1"/>
    <col min="11" max="11" width="9.109375" style="1" customWidth="1"/>
  </cols>
  <sheetData>
    <row r="1" spans="1:11" ht="18">
      <c r="I1" s="604" t="s">
        <v>851</v>
      </c>
    </row>
    <row r="2" spans="1:11" ht="18">
      <c r="I2" s="604" t="s">
        <v>627</v>
      </c>
    </row>
    <row r="3" spans="1:11" ht="18">
      <c r="I3" s="604" t="s">
        <v>868</v>
      </c>
    </row>
    <row r="5" spans="1:11" ht="20.399999999999999">
      <c r="A5" s="679" t="s">
        <v>840</v>
      </c>
      <c r="B5" s="679"/>
      <c r="C5" s="679"/>
      <c r="D5" s="679"/>
      <c r="E5" s="679"/>
      <c r="F5" s="679"/>
      <c r="G5" s="679"/>
      <c r="H5" s="679"/>
      <c r="I5" s="679"/>
      <c r="J5" s="679"/>
      <c r="K5" s="679"/>
    </row>
    <row r="6" spans="1:11" ht="20.399999999999999">
      <c r="A6" s="680" t="s">
        <v>527</v>
      </c>
      <c r="B6" s="680"/>
      <c r="C6" s="680"/>
      <c r="D6" s="680"/>
      <c r="E6" s="680"/>
      <c r="F6" s="680"/>
      <c r="G6" s="680"/>
      <c r="H6" s="680"/>
      <c r="I6" s="680"/>
      <c r="J6" s="680"/>
      <c r="K6" s="680"/>
    </row>
    <row r="8" spans="1:11" ht="19.5" customHeight="1" thickBot="1">
      <c r="A8" s="680"/>
      <c r="B8" s="680"/>
      <c r="C8" s="680"/>
      <c r="D8" s="680"/>
      <c r="E8" s="680"/>
      <c r="F8" s="680"/>
      <c r="G8" s="680"/>
      <c r="H8" s="680"/>
      <c r="I8" s="680"/>
      <c r="J8" s="680"/>
      <c r="K8" s="680"/>
    </row>
    <row r="9" spans="1:11" ht="34.5" customHeight="1">
      <c r="A9" s="723" t="s">
        <v>0</v>
      </c>
      <c r="B9" s="726" t="s">
        <v>1</v>
      </c>
      <c r="C9" s="716" t="s">
        <v>2</v>
      </c>
      <c r="D9" s="716"/>
      <c r="E9" s="716"/>
      <c r="F9" s="719" t="s">
        <v>3</v>
      </c>
      <c r="G9" s="719"/>
      <c r="H9" s="719"/>
      <c r="I9" s="719" t="s">
        <v>269</v>
      </c>
      <c r="J9" s="719"/>
      <c r="K9" s="722"/>
    </row>
    <row r="10" spans="1:11" ht="3.75" customHeight="1">
      <c r="A10" s="724"/>
      <c r="B10" s="727"/>
      <c r="C10" s="689" t="s">
        <v>849</v>
      </c>
      <c r="D10" s="691" t="s">
        <v>850</v>
      </c>
      <c r="E10" s="717" t="s">
        <v>267</v>
      </c>
      <c r="F10" s="689" t="s">
        <v>849</v>
      </c>
      <c r="G10" s="691" t="s">
        <v>850</v>
      </c>
      <c r="H10" s="717" t="s">
        <v>267</v>
      </c>
      <c r="I10" s="693" t="s">
        <v>849</v>
      </c>
      <c r="J10" s="705" t="s">
        <v>850</v>
      </c>
      <c r="K10" s="720" t="s">
        <v>267</v>
      </c>
    </row>
    <row r="11" spans="1:11" ht="82.5" customHeight="1" thickBot="1">
      <c r="A11" s="725"/>
      <c r="B11" s="41" t="s">
        <v>270</v>
      </c>
      <c r="C11" s="690"/>
      <c r="D11" s="692"/>
      <c r="E11" s="718"/>
      <c r="F11" s="690"/>
      <c r="G11" s="692"/>
      <c r="H11" s="718"/>
      <c r="I11" s="694"/>
      <c r="J11" s="706"/>
      <c r="K11" s="721"/>
    </row>
    <row r="12" spans="1:11" ht="21" customHeight="1" thickBot="1">
      <c r="A12" s="713" t="s">
        <v>271</v>
      </c>
      <c r="B12" s="714"/>
      <c r="C12" s="714"/>
      <c r="D12" s="714"/>
      <c r="E12" s="714"/>
      <c r="F12" s="714"/>
      <c r="G12" s="714"/>
      <c r="H12" s="714"/>
      <c r="I12" s="714"/>
      <c r="J12" s="714"/>
      <c r="K12" s="715"/>
    </row>
    <row r="13" spans="1:11" s="21" customFormat="1" ht="24" customHeight="1" thickBot="1">
      <c r="A13" s="207" t="s">
        <v>156</v>
      </c>
      <c r="B13" s="208" t="s">
        <v>157</v>
      </c>
      <c r="C13" s="209">
        <f>SUM(C14:C16)</f>
        <v>42351700</v>
      </c>
      <c r="D13" s="209">
        <f>SUM(D14:D16)</f>
        <v>41573495.099999994</v>
      </c>
      <c r="E13" s="203">
        <f>D13/C13*100</f>
        <v>98.162517915455567</v>
      </c>
      <c r="F13" s="204">
        <f>SUM(F14:F16)</f>
        <v>411957.74</v>
      </c>
      <c r="G13" s="204">
        <f>SUM(G14:G16)</f>
        <v>411857.74</v>
      </c>
      <c r="H13" s="203">
        <f t="shared" ref="H13:H14" si="0">G13/F13*100</f>
        <v>99.97572566545297</v>
      </c>
      <c r="I13" s="205">
        <f>C13+F13</f>
        <v>42763657.740000002</v>
      </c>
      <c r="J13" s="205">
        <f>D13+G13</f>
        <v>41985352.839999996</v>
      </c>
      <c r="K13" s="206">
        <f>J13/I13*100</f>
        <v>98.179985199741225</v>
      </c>
    </row>
    <row r="14" spans="1:11" ht="84" customHeight="1">
      <c r="A14" s="646" t="s">
        <v>158</v>
      </c>
      <c r="B14" s="116" t="s">
        <v>159</v>
      </c>
      <c r="C14" s="117">
        <v>36788600</v>
      </c>
      <c r="D14" s="117">
        <v>36118631.479999997</v>
      </c>
      <c r="E14" s="118">
        <f t="shared" ref="E14:E149" si="1">D14/C14*100</f>
        <v>98.178869214919828</v>
      </c>
      <c r="F14" s="60">
        <v>411957.74</v>
      </c>
      <c r="G14" s="60">
        <v>411857.74</v>
      </c>
      <c r="H14" s="62">
        <f t="shared" si="0"/>
        <v>99.97572566545297</v>
      </c>
      <c r="I14" s="119">
        <f>C14+F14</f>
        <v>37200557.740000002</v>
      </c>
      <c r="J14" s="119">
        <f>D14+G14</f>
        <v>36530489.219999999</v>
      </c>
      <c r="K14" s="647">
        <f t="shared" ref="K14:K150" si="2">J14/I14*100</f>
        <v>98.198767543531986</v>
      </c>
    </row>
    <row r="15" spans="1:11" ht="54" customHeight="1">
      <c r="A15" s="648" t="s">
        <v>412</v>
      </c>
      <c r="B15" s="63" t="s">
        <v>278</v>
      </c>
      <c r="C15" s="59">
        <v>5343100</v>
      </c>
      <c r="D15" s="59">
        <v>5254738.57</v>
      </c>
      <c r="E15" s="62">
        <f t="shared" ref="E15" si="3">D15/C15*100</f>
        <v>98.346251614231434</v>
      </c>
      <c r="F15" s="60">
        <v>0</v>
      </c>
      <c r="G15" s="60">
        <v>0</v>
      </c>
      <c r="H15" s="62">
        <v>0</v>
      </c>
      <c r="I15" s="65">
        <f t="shared" ref="I15" si="4">C15+F15</f>
        <v>5343100</v>
      </c>
      <c r="J15" s="65">
        <f t="shared" ref="J15" si="5">D15+G15</f>
        <v>5254738.57</v>
      </c>
      <c r="K15" s="649">
        <f t="shared" ref="K15" si="6">J15/I15*100</f>
        <v>98.346251614231434</v>
      </c>
    </row>
    <row r="16" spans="1:11" ht="30" customHeight="1" thickBot="1">
      <c r="A16" s="650" t="s">
        <v>408</v>
      </c>
      <c r="B16" s="108" t="s">
        <v>403</v>
      </c>
      <c r="C16" s="122">
        <v>220000</v>
      </c>
      <c r="D16" s="122">
        <v>200125.05</v>
      </c>
      <c r="E16" s="123">
        <f t="shared" ref="E16" si="7">D16/C16*100</f>
        <v>90.965931818181815</v>
      </c>
      <c r="F16" s="124">
        <v>0</v>
      </c>
      <c r="G16" s="124">
        <v>0</v>
      </c>
      <c r="H16" s="123">
        <v>0</v>
      </c>
      <c r="I16" s="125">
        <f t="shared" ref="I16" si="8">C16+F16</f>
        <v>220000</v>
      </c>
      <c r="J16" s="125">
        <f t="shared" ref="J16" si="9">D16+G16</f>
        <v>200125.05</v>
      </c>
      <c r="K16" s="651">
        <f t="shared" ref="K16" si="10">J16/I16*100</f>
        <v>90.965931818181815</v>
      </c>
    </row>
    <row r="17" spans="1:11" s="21" customFormat="1" ht="31.05" customHeight="1" thickBot="1">
      <c r="A17" s="207" t="s">
        <v>160</v>
      </c>
      <c r="B17" s="208" t="s">
        <v>161</v>
      </c>
      <c r="C17" s="209">
        <f>C18+C19+C21+C27+C28+C29+C32+C35+C40+C36+C23+C25+C44+C39+C47</f>
        <v>288027763</v>
      </c>
      <c r="D17" s="209">
        <f>D18+D19+D21+D27+D28+D29+D32+D35+D40+D36+D23+D25+D44+D39+D47</f>
        <v>277081884.77999997</v>
      </c>
      <c r="E17" s="203">
        <f t="shared" si="1"/>
        <v>96.199714185191226</v>
      </c>
      <c r="F17" s="198">
        <f>F18+F19+F21+F27+F28+F29+F32+F35+F40+F23+F25+F41+F44+F36+F47</f>
        <v>26456732.52</v>
      </c>
      <c r="G17" s="198">
        <f>G18+G19+G21+G27+G28+G29+G32+G35+G40+G23+G25+G41+G44+G36+G47</f>
        <v>21189661.420000002</v>
      </c>
      <c r="H17" s="203">
        <f t="shared" ref="H17:H150" si="11">G17/F17*100</f>
        <v>80.091755109901243</v>
      </c>
      <c r="I17" s="205">
        <f t="shared" ref="I17:I151" si="12">C17+F17</f>
        <v>314484495.51999998</v>
      </c>
      <c r="J17" s="205">
        <f t="shared" ref="J17:J151" si="13">D17+G17</f>
        <v>298271546.19999999</v>
      </c>
      <c r="K17" s="206">
        <f t="shared" si="2"/>
        <v>94.844595027429918</v>
      </c>
    </row>
    <row r="18" spans="1:11" ht="18">
      <c r="A18" s="652" t="s">
        <v>162</v>
      </c>
      <c r="B18" s="214" t="s">
        <v>163</v>
      </c>
      <c r="C18" s="187">
        <v>51460400</v>
      </c>
      <c r="D18" s="187">
        <v>49432659.93</v>
      </c>
      <c r="E18" s="188">
        <f t="shared" si="1"/>
        <v>96.059610749236299</v>
      </c>
      <c r="F18" s="189">
        <v>2082209.43</v>
      </c>
      <c r="G18" s="189">
        <v>2012325.37</v>
      </c>
      <c r="H18" s="188">
        <f t="shared" si="11"/>
        <v>96.643754514165281</v>
      </c>
      <c r="I18" s="112">
        <f t="shared" si="12"/>
        <v>53542609.43</v>
      </c>
      <c r="J18" s="112">
        <f t="shared" si="13"/>
        <v>51444985.299999997</v>
      </c>
      <c r="K18" s="653">
        <f t="shared" si="2"/>
        <v>96.082327416742046</v>
      </c>
    </row>
    <row r="19" spans="1:11" ht="32.4">
      <c r="A19" s="654" t="s">
        <v>345</v>
      </c>
      <c r="B19" s="181" t="s">
        <v>164</v>
      </c>
      <c r="C19" s="74">
        <f>C20</f>
        <v>88390690</v>
      </c>
      <c r="D19" s="74">
        <f>D20</f>
        <v>81875158.269999996</v>
      </c>
      <c r="E19" s="75">
        <f t="shared" ref="E19" si="14">D19/C19*100</f>
        <v>92.628712673246454</v>
      </c>
      <c r="F19" s="76">
        <f>F20</f>
        <v>15043023.140000001</v>
      </c>
      <c r="G19" s="76">
        <f>G20</f>
        <v>13342471.140000001</v>
      </c>
      <c r="H19" s="75">
        <f t="shared" ref="H19" si="15">G19/F19*100</f>
        <v>88.695410595506146</v>
      </c>
      <c r="I19" s="77">
        <f t="shared" ref="I19" si="16">C19+F19</f>
        <v>103433713.14</v>
      </c>
      <c r="J19" s="77">
        <f t="shared" ref="J19" si="17">D19+G19</f>
        <v>95217629.409999996</v>
      </c>
      <c r="K19" s="655">
        <f t="shared" ref="K19" si="18">J19/I19*100</f>
        <v>92.056667521082474</v>
      </c>
    </row>
    <row r="20" spans="1:11" ht="51.45" customHeight="1">
      <c r="A20" s="656" t="s">
        <v>511</v>
      </c>
      <c r="B20" s="63" t="s">
        <v>353</v>
      </c>
      <c r="C20" s="78">
        <v>88390690</v>
      </c>
      <c r="D20" s="78">
        <v>81875158.269999996</v>
      </c>
      <c r="E20" s="62">
        <f t="shared" ref="E20" si="19">D20/C20*100</f>
        <v>92.628712673246454</v>
      </c>
      <c r="F20" s="136">
        <f>15096023.14-53000</f>
        <v>15043023.140000001</v>
      </c>
      <c r="G20" s="136">
        <v>13342471.140000001</v>
      </c>
      <c r="H20" s="62">
        <f t="shared" si="11"/>
        <v>88.695410595506146</v>
      </c>
      <c r="I20" s="65">
        <f t="shared" si="12"/>
        <v>103433713.14</v>
      </c>
      <c r="J20" s="65">
        <f t="shared" si="13"/>
        <v>95217629.409999996</v>
      </c>
      <c r="K20" s="649">
        <f t="shared" si="2"/>
        <v>92.056667521082474</v>
      </c>
    </row>
    <row r="21" spans="1:11" ht="37.049999999999997" customHeight="1">
      <c r="A21" s="657" t="s">
        <v>352</v>
      </c>
      <c r="B21" s="181" t="s">
        <v>351</v>
      </c>
      <c r="C21" s="74">
        <f>C22</f>
        <v>120414600</v>
      </c>
      <c r="D21" s="74">
        <f>D22</f>
        <v>120411466.73</v>
      </c>
      <c r="E21" s="75">
        <f t="shared" si="1"/>
        <v>99.997397931812259</v>
      </c>
      <c r="F21" s="76">
        <f>F22</f>
        <v>0</v>
      </c>
      <c r="G21" s="76">
        <f>G22</f>
        <v>0</v>
      </c>
      <c r="H21" s="75">
        <v>0</v>
      </c>
      <c r="I21" s="77">
        <f t="shared" si="12"/>
        <v>120414600</v>
      </c>
      <c r="J21" s="77">
        <f t="shared" si="13"/>
        <v>120411466.73</v>
      </c>
      <c r="K21" s="655">
        <f t="shared" si="2"/>
        <v>99.997397931812259</v>
      </c>
    </row>
    <row r="22" spans="1:11" ht="48" customHeight="1">
      <c r="A22" s="656" t="s">
        <v>512</v>
      </c>
      <c r="B22" s="63" t="s">
        <v>346</v>
      </c>
      <c r="C22" s="59">
        <v>120414600</v>
      </c>
      <c r="D22" s="59">
        <v>120411466.73</v>
      </c>
      <c r="E22" s="62">
        <f t="shared" ref="E22:E23" si="20">D22/C22*100</f>
        <v>99.997397931812259</v>
      </c>
      <c r="F22" s="60">
        <v>0</v>
      </c>
      <c r="G22" s="60">
        <v>0</v>
      </c>
      <c r="H22" s="62">
        <v>0</v>
      </c>
      <c r="I22" s="65">
        <f t="shared" ref="I22:I23" si="21">C22+F22</f>
        <v>120414600</v>
      </c>
      <c r="J22" s="65">
        <f t="shared" ref="J22:J23" si="22">D22+G22</f>
        <v>120411466.73</v>
      </c>
      <c r="K22" s="649">
        <f t="shared" ref="K22:K23" si="23">J22/I22*100</f>
        <v>99.997397931812259</v>
      </c>
    </row>
    <row r="23" spans="1:11" ht="80.55" hidden="1" customHeight="1">
      <c r="A23" s="657" t="s">
        <v>448</v>
      </c>
      <c r="B23" s="181" t="s">
        <v>446</v>
      </c>
      <c r="C23" s="74">
        <f>C24</f>
        <v>0</v>
      </c>
      <c r="D23" s="74">
        <f>D24</f>
        <v>0</v>
      </c>
      <c r="E23" s="75" t="e">
        <f t="shared" si="20"/>
        <v>#DIV/0!</v>
      </c>
      <c r="F23" s="76">
        <f>F24</f>
        <v>0</v>
      </c>
      <c r="G23" s="76">
        <f>G24</f>
        <v>0</v>
      </c>
      <c r="H23" s="75">
        <v>0</v>
      </c>
      <c r="I23" s="77">
        <f t="shared" si="21"/>
        <v>0</v>
      </c>
      <c r="J23" s="77">
        <f t="shared" si="22"/>
        <v>0</v>
      </c>
      <c r="K23" s="655" t="e">
        <f t="shared" si="23"/>
        <v>#DIV/0!</v>
      </c>
    </row>
    <row r="24" spans="1:11" ht="43.05" hidden="1" customHeight="1">
      <c r="A24" s="656" t="s">
        <v>344</v>
      </c>
      <c r="B24" s="63" t="s">
        <v>447</v>
      </c>
      <c r="C24" s="59">
        <v>0</v>
      </c>
      <c r="D24" s="59">
        <v>0</v>
      </c>
      <c r="E24" s="62" t="e">
        <f t="shared" ref="E24:E26" si="24">D24/C24*100</f>
        <v>#DIV/0!</v>
      </c>
      <c r="F24" s="60">
        <v>0</v>
      </c>
      <c r="G24" s="60">
        <v>0</v>
      </c>
      <c r="H24" s="62">
        <v>0</v>
      </c>
      <c r="I24" s="65">
        <f t="shared" ref="I24:I25" si="25">C24+F24</f>
        <v>0</v>
      </c>
      <c r="J24" s="65">
        <f t="shared" ref="J24:J25" si="26">D24+G24</f>
        <v>0</v>
      </c>
      <c r="K24" s="649" t="e">
        <f t="shared" ref="K24:K25" si="27">J24/I24*100</f>
        <v>#DIV/0!</v>
      </c>
    </row>
    <row r="25" spans="1:11" ht="143.4" hidden="1" customHeight="1">
      <c r="A25" s="657" t="s">
        <v>461</v>
      </c>
      <c r="B25" s="181" t="s">
        <v>459</v>
      </c>
      <c r="C25" s="74">
        <f>C26</f>
        <v>0</v>
      </c>
      <c r="D25" s="74">
        <f>D26</f>
        <v>0</v>
      </c>
      <c r="E25" s="75" t="e">
        <f t="shared" si="24"/>
        <v>#DIV/0!</v>
      </c>
      <c r="F25" s="76">
        <f>F26</f>
        <v>0</v>
      </c>
      <c r="G25" s="76">
        <f>G26</f>
        <v>0</v>
      </c>
      <c r="H25" s="75">
        <v>0</v>
      </c>
      <c r="I25" s="77">
        <f t="shared" si="25"/>
        <v>0</v>
      </c>
      <c r="J25" s="77">
        <f t="shared" si="26"/>
        <v>0</v>
      </c>
      <c r="K25" s="655" t="e">
        <f t="shared" si="27"/>
        <v>#DIV/0!</v>
      </c>
    </row>
    <row r="26" spans="1:11" ht="36" hidden="1" customHeight="1">
      <c r="A26" s="656" t="s">
        <v>344</v>
      </c>
      <c r="B26" s="63" t="s">
        <v>460</v>
      </c>
      <c r="C26" s="59">
        <v>0</v>
      </c>
      <c r="D26" s="59">
        <v>0</v>
      </c>
      <c r="E26" s="62" t="e">
        <f t="shared" si="24"/>
        <v>#DIV/0!</v>
      </c>
      <c r="F26" s="60">
        <v>0</v>
      </c>
      <c r="G26" s="60">
        <v>0</v>
      </c>
      <c r="H26" s="62">
        <v>0</v>
      </c>
      <c r="I26" s="65">
        <f t="shared" ref="I26" si="28">C26+F26</f>
        <v>0</v>
      </c>
      <c r="J26" s="65">
        <f t="shared" ref="J26" si="29">D26+G26</f>
        <v>0</v>
      </c>
      <c r="K26" s="649" t="e">
        <f t="shared" ref="K26" si="30">J26/I26*100</f>
        <v>#DIV/0!</v>
      </c>
    </row>
    <row r="27" spans="1:11" ht="49.5" customHeight="1">
      <c r="A27" s="657" t="s">
        <v>317</v>
      </c>
      <c r="B27" s="181" t="s">
        <v>347</v>
      </c>
      <c r="C27" s="74">
        <v>7681800</v>
      </c>
      <c r="D27" s="74">
        <v>7369754.8099999996</v>
      </c>
      <c r="E27" s="75">
        <f t="shared" si="1"/>
        <v>95.937863651748273</v>
      </c>
      <c r="F27" s="76">
        <v>196544.25</v>
      </c>
      <c r="G27" s="76">
        <v>172598.96</v>
      </c>
      <c r="H27" s="75">
        <f t="shared" ref="H27" si="31">G27/F27*100</f>
        <v>87.816845316003906</v>
      </c>
      <c r="I27" s="77">
        <f t="shared" si="12"/>
        <v>7878344.25</v>
      </c>
      <c r="J27" s="77">
        <f t="shared" si="13"/>
        <v>7542353.7699999996</v>
      </c>
      <c r="K27" s="655">
        <f t="shared" si="2"/>
        <v>95.735265312886014</v>
      </c>
    </row>
    <row r="28" spans="1:11" ht="32.4">
      <c r="A28" s="657" t="s">
        <v>318</v>
      </c>
      <c r="B28" s="181" t="s">
        <v>348</v>
      </c>
      <c r="C28" s="74">
        <v>10216500</v>
      </c>
      <c r="D28" s="74">
        <v>9586012.3599999994</v>
      </c>
      <c r="E28" s="75">
        <f t="shared" si="1"/>
        <v>93.828731561689409</v>
      </c>
      <c r="F28" s="76">
        <v>459000</v>
      </c>
      <c r="G28" s="76">
        <v>396043.03</v>
      </c>
      <c r="H28" s="75">
        <f t="shared" si="11"/>
        <v>86.283884531590417</v>
      </c>
      <c r="I28" s="77">
        <f t="shared" si="12"/>
        <v>10675500</v>
      </c>
      <c r="J28" s="77">
        <f t="shared" si="13"/>
        <v>9982055.3899999987</v>
      </c>
      <c r="K28" s="655">
        <f t="shared" si="2"/>
        <v>93.504336002997505</v>
      </c>
    </row>
    <row r="29" spans="1:11" ht="32.4">
      <c r="A29" s="657" t="s">
        <v>281</v>
      </c>
      <c r="B29" s="181" t="s">
        <v>349</v>
      </c>
      <c r="C29" s="74">
        <f>C30+C31</f>
        <v>4024600</v>
      </c>
      <c r="D29" s="74">
        <f>D30+D31</f>
        <v>4013689.03</v>
      </c>
      <c r="E29" s="75">
        <f t="shared" ref="E29:E30" si="32">D29/C29*100</f>
        <v>99.72889305769516</v>
      </c>
      <c r="F29" s="76">
        <f>F30+F31</f>
        <v>2510.5</v>
      </c>
      <c r="G29" s="76">
        <f>G30+G31</f>
        <v>2510.5</v>
      </c>
      <c r="H29" s="75">
        <f t="shared" si="11"/>
        <v>100</v>
      </c>
      <c r="I29" s="77">
        <f>I30+I31</f>
        <v>4027110.5</v>
      </c>
      <c r="J29" s="77">
        <f>J30+J31</f>
        <v>4016199.53</v>
      </c>
      <c r="K29" s="655">
        <f t="shared" ref="K29:K30" si="33">J29/I29*100</f>
        <v>99.729062065716846</v>
      </c>
    </row>
    <row r="30" spans="1:11" ht="31.2">
      <c r="A30" s="656" t="s">
        <v>282</v>
      </c>
      <c r="B30" s="63" t="s">
        <v>350</v>
      </c>
      <c r="C30" s="59">
        <v>3974600</v>
      </c>
      <c r="D30" s="59">
        <v>3968130.03</v>
      </c>
      <c r="E30" s="62">
        <f t="shared" si="32"/>
        <v>99.837217078448134</v>
      </c>
      <c r="F30" s="60">
        <v>2510.5</v>
      </c>
      <c r="G30" s="60">
        <v>2510.5</v>
      </c>
      <c r="H30" s="62">
        <f t="shared" ref="H30" si="34">G30/F30*100</f>
        <v>100</v>
      </c>
      <c r="I30" s="65">
        <f t="shared" ref="I30" si="35">C30+F30</f>
        <v>3977110.5</v>
      </c>
      <c r="J30" s="65">
        <f t="shared" ref="J30" si="36">D30+G30</f>
        <v>3970640.53</v>
      </c>
      <c r="K30" s="649">
        <f t="shared" si="33"/>
        <v>99.837319833079817</v>
      </c>
    </row>
    <row r="31" spans="1:11" ht="18">
      <c r="A31" s="656" t="s">
        <v>475</v>
      </c>
      <c r="B31" s="63" t="s">
        <v>474</v>
      </c>
      <c r="C31" s="59">
        <v>50000</v>
      </c>
      <c r="D31" s="59">
        <v>45559</v>
      </c>
      <c r="E31" s="62">
        <f t="shared" ref="E31" si="37">D31/C31*100</f>
        <v>91.117999999999995</v>
      </c>
      <c r="F31" s="60">
        <v>0</v>
      </c>
      <c r="G31" s="60">
        <v>0</v>
      </c>
      <c r="H31" s="62">
        <v>0</v>
      </c>
      <c r="I31" s="65">
        <f t="shared" ref="I31" si="38">C31+F31</f>
        <v>50000</v>
      </c>
      <c r="J31" s="65">
        <f t="shared" ref="J31" si="39">D31+G31</f>
        <v>45559</v>
      </c>
      <c r="K31" s="649">
        <f t="shared" ref="K31" si="40">J31/I31*100</f>
        <v>91.117999999999995</v>
      </c>
    </row>
    <row r="32" spans="1:11" ht="32.4">
      <c r="A32" s="658" t="s">
        <v>354</v>
      </c>
      <c r="B32" s="181" t="s">
        <v>279</v>
      </c>
      <c r="C32" s="74">
        <f>C33+C34</f>
        <v>1777000</v>
      </c>
      <c r="D32" s="74">
        <f>D33+D34</f>
        <v>1680485.85</v>
      </c>
      <c r="E32" s="75">
        <f t="shared" si="1"/>
        <v>94.568702870005623</v>
      </c>
      <c r="F32" s="76">
        <f>F33</f>
        <v>34623.199999999997</v>
      </c>
      <c r="G32" s="76">
        <f>G33</f>
        <v>34623.199999999997</v>
      </c>
      <c r="H32" s="75">
        <f t="shared" si="11"/>
        <v>100</v>
      </c>
      <c r="I32" s="77">
        <f t="shared" ref="I32:I54" si="41">C32+F32</f>
        <v>1811623.2</v>
      </c>
      <c r="J32" s="77">
        <f t="shared" ref="J32:J54" si="42">D32+G32</f>
        <v>1715109.05</v>
      </c>
      <c r="K32" s="655">
        <f t="shared" ref="K32:K53" si="43">J32/I32*100</f>
        <v>94.672504194028875</v>
      </c>
    </row>
    <row r="33" spans="1:11" ht="31.2">
      <c r="A33" s="648" t="s">
        <v>355</v>
      </c>
      <c r="B33" s="63" t="s">
        <v>356</v>
      </c>
      <c r="C33" s="59">
        <v>446400</v>
      </c>
      <c r="D33" s="59">
        <v>351115.84</v>
      </c>
      <c r="E33" s="62">
        <f t="shared" ref="E33" si="44">D33/C33*100</f>
        <v>78.654982078853052</v>
      </c>
      <c r="F33" s="60">
        <v>34623.199999999997</v>
      </c>
      <c r="G33" s="60">
        <v>34623.199999999997</v>
      </c>
      <c r="H33" s="62">
        <f t="shared" si="11"/>
        <v>100</v>
      </c>
      <c r="I33" s="65">
        <f t="shared" ref="I33" si="45">C33+F33</f>
        <v>481023.2</v>
      </c>
      <c r="J33" s="65">
        <f t="shared" ref="J33" si="46">D33+G33</f>
        <v>385739.04000000004</v>
      </c>
      <c r="K33" s="649">
        <f t="shared" ref="K33" si="47">J33/I33*100</f>
        <v>80.191358753590265</v>
      </c>
    </row>
    <row r="34" spans="1:11" ht="34.200000000000003" customHeight="1">
      <c r="A34" s="648" t="s">
        <v>358</v>
      </c>
      <c r="B34" s="63" t="s">
        <v>357</v>
      </c>
      <c r="C34" s="59">
        <v>1330600</v>
      </c>
      <c r="D34" s="59">
        <v>1329370.01</v>
      </c>
      <c r="E34" s="62">
        <f t="shared" ref="E34" si="48">D34/C34*100</f>
        <v>99.90756125056366</v>
      </c>
      <c r="F34" s="60">
        <v>0</v>
      </c>
      <c r="G34" s="60">
        <v>0</v>
      </c>
      <c r="H34" s="62">
        <v>0</v>
      </c>
      <c r="I34" s="65">
        <f t="shared" ref="I34:I39" si="49">C34+F34</f>
        <v>1330600</v>
      </c>
      <c r="J34" s="65">
        <f t="shared" ref="J34:J39" si="50">D34+G34</f>
        <v>1329370.01</v>
      </c>
      <c r="K34" s="649">
        <f t="shared" ref="K34:K39" si="51">J34/I34*100</f>
        <v>99.90756125056366</v>
      </c>
    </row>
    <row r="35" spans="1:11" ht="0.45" customHeight="1">
      <c r="A35" s="658" t="s">
        <v>359</v>
      </c>
      <c r="B35" s="181" t="s">
        <v>280</v>
      </c>
      <c r="C35" s="74">
        <v>0</v>
      </c>
      <c r="D35" s="74">
        <v>0</v>
      </c>
      <c r="E35" s="75" t="e">
        <f t="shared" si="1"/>
        <v>#DIV/0!</v>
      </c>
      <c r="F35" s="76">
        <v>0</v>
      </c>
      <c r="G35" s="76">
        <v>0</v>
      </c>
      <c r="H35" s="75">
        <v>0</v>
      </c>
      <c r="I35" s="65">
        <f t="shared" si="49"/>
        <v>0</v>
      </c>
      <c r="J35" s="65">
        <f t="shared" si="50"/>
        <v>0</v>
      </c>
      <c r="K35" s="649" t="e">
        <f t="shared" si="51"/>
        <v>#DIV/0!</v>
      </c>
    </row>
    <row r="36" spans="1:11" ht="67.5" customHeight="1">
      <c r="A36" s="658" t="s">
        <v>426</v>
      </c>
      <c r="B36" s="181" t="s">
        <v>423</v>
      </c>
      <c r="C36" s="74">
        <f>C37+C38</f>
        <v>715369</v>
      </c>
      <c r="D36" s="74">
        <f>D37+D38</f>
        <v>715369</v>
      </c>
      <c r="E36" s="229">
        <f t="shared" si="1"/>
        <v>100</v>
      </c>
      <c r="F36" s="76">
        <f>F37+F38</f>
        <v>1551000</v>
      </c>
      <c r="G36" s="76">
        <f>G37+G38</f>
        <v>1551000</v>
      </c>
      <c r="H36" s="75">
        <v>0</v>
      </c>
      <c r="I36" s="65">
        <f t="shared" si="49"/>
        <v>2266369</v>
      </c>
      <c r="J36" s="65">
        <f t="shared" si="50"/>
        <v>2266369</v>
      </c>
      <c r="K36" s="649">
        <f t="shared" si="51"/>
        <v>100</v>
      </c>
    </row>
    <row r="37" spans="1:11" ht="85.5" customHeight="1">
      <c r="A37" s="648" t="s">
        <v>427</v>
      </c>
      <c r="B37" s="81" t="s">
        <v>424</v>
      </c>
      <c r="C37" s="59">
        <v>214700</v>
      </c>
      <c r="D37" s="59">
        <v>214700</v>
      </c>
      <c r="E37" s="62">
        <f t="shared" si="1"/>
        <v>100</v>
      </c>
      <c r="F37" s="60">
        <v>465300</v>
      </c>
      <c r="G37" s="60">
        <v>465300</v>
      </c>
      <c r="H37" s="62">
        <f t="shared" ref="H37:H38" si="52">G37/F37*100</f>
        <v>100</v>
      </c>
      <c r="I37" s="65">
        <f t="shared" si="49"/>
        <v>680000</v>
      </c>
      <c r="J37" s="65">
        <f t="shared" si="50"/>
        <v>680000</v>
      </c>
      <c r="K37" s="649">
        <f t="shared" si="51"/>
        <v>100</v>
      </c>
    </row>
    <row r="38" spans="1:11" ht="64.95" customHeight="1">
      <c r="A38" s="648" t="s">
        <v>428</v>
      </c>
      <c r="B38" s="81" t="s">
        <v>425</v>
      </c>
      <c r="C38" s="59">
        <v>500669</v>
      </c>
      <c r="D38" s="59">
        <v>500669</v>
      </c>
      <c r="E38" s="62">
        <f t="shared" si="1"/>
        <v>100</v>
      </c>
      <c r="F38" s="60">
        <v>1085700</v>
      </c>
      <c r="G38" s="60">
        <v>1085700</v>
      </c>
      <c r="H38" s="62">
        <f t="shared" si="52"/>
        <v>100</v>
      </c>
      <c r="I38" s="65">
        <f t="shared" si="49"/>
        <v>1586369</v>
      </c>
      <c r="J38" s="65">
        <f t="shared" si="50"/>
        <v>1586369</v>
      </c>
      <c r="K38" s="649">
        <f t="shared" si="51"/>
        <v>100</v>
      </c>
    </row>
    <row r="39" spans="1:11" s="25" customFormat="1" ht="72" customHeight="1">
      <c r="A39" s="654" t="s">
        <v>517</v>
      </c>
      <c r="B39" s="181" t="s">
        <v>518</v>
      </c>
      <c r="C39" s="344">
        <v>254504</v>
      </c>
      <c r="D39" s="344">
        <v>254327.01</v>
      </c>
      <c r="E39" s="229">
        <f t="shared" si="1"/>
        <v>99.930456888693314</v>
      </c>
      <c r="F39" s="345">
        <v>0</v>
      </c>
      <c r="G39" s="345">
        <v>0</v>
      </c>
      <c r="H39" s="229">
        <v>0</v>
      </c>
      <c r="I39" s="77">
        <f t="shared" si="49"/>
        <v>254504</v>
      </c>
      <c r="J39" s="77">
        <f t="shared" si="50"/>
        <v>254327.01</v>
      </c>
      <c r="K39" s="655">
        <f t="shared" si="51"/>
        <v>99.930456888693314</v>
      </c>
    </row>
    <row r="40" spans="1:11" s="25" customFormat="1" ht="83.55" customHeight="1">
      <c r="A40" s="658" t="s">
        <v>513</v>
      </c>
      <c r="B40" s="181" t="s">
        <v>510</v>
      </c>
      <c r="C40" s="346">
        <v>116000</v>
      </c>
      <c r="D40" s="346">
        <v>112368.2</v>
      </c>
      <c r="E40" s="229">
        <f t="shared" si="1"/>
        <v>96.869137931034473</v>
      </c>
      <c r="F40" s="230">
        <v>0</v>
      </c>
      <c r="G40" s="230">
        <v>0</v>
      </c>
      <c r="H40" s="229">
        <v>0</v>
      </c>
      <c r="I40" s="231">
        <f t="shared" si="41"/>
        <v>116000</v>
      </c>
      <c r="J40" s="231">
        <f t="shared" si="42"/>
        <v>112368.2</v>
      </c>
      <c r="K40" s="659">
        <f t="shared" si="43"/>
        <v>96.869137931034473</v>
      </c>
    </row>
    <row r="41" spans="1:11" ht="50.55" hidden="1" customHeight="1">
      <c r="A41" s="658" t="s">
        <v>499</v>
      </c>
      <c r="B41" s="181" t="s">
        <v>496</v>
      </c>
      <c r="C41" s="74">
        <f>C42+C43</f>
        <v>0</v>
      </c>
      <c r="D41" s="74">
        <f>D42+D43</f>
        <v>0</v>
      </c>
      <c r="E41" s="75">
        <v>0</v>
      </c>
      <c r="F41" s="76">
        <f>F42+F43</f>
        <v>0</v>
      </c>
      <c r="G41" s="76">
        <f>G42+G43</f>
        <v>0</v>
      </c>
      <c r="H41" s="75" t="e">
        <f t="shared" ref="H41:H43" si="53">G41/F41*100</f>
        <v>#DIV/0!</v>
      </c>
      <c r="I41" s="77">
        <f t="shared" ref="I41:I43" si="54">C41+F41</f>
        <v>0</v>
      </c>
      <c r="J41" s="77">
        <f t="shared" ref="J41:J43" si="55">D41+G41</f>
        <v>0</v>
      </c>
      <c r="K41" s="655" t="e">
        <f t="shared" ref="K41:K43" si="56">J41/I41*100</f>
        <v>#DIV/0!</v>
      </c>
    </row>
    <row r="42" spans="1:11" ht="64.95" hidden="1" customHeight="1">
      <c r="A42" s="648" t="s">
        <v>500</v>
      </c>
      <c r="B42" s="63" t="s">
        <v>497</v>
      </c>
      <c r="C42" s="59">
        <v>0</v>
      </c>
      <c r="D42" s="59">
        <v>0</v>
      </c>
      <c r="E42" s="62">
        <v>0</v>
      </c>
      <c r="F42" s="60">
        <v>0</v>
      </c>
      <c r="G42" s="60">
        <v>0</v>
      </c>
      <c r="H42" s="62" t="e">
        <f t="shared" si="53"/>
        <v>#DIV/0!</v>
      </c>
      <c r="I42" s="65">
        <f t="shared" si="54"/>
        <v>0</v>
      </c>
      <c r="J42" s="65">
        <f t="shared" si="55"/>
        <v>0</v>
      </c>
      <c r="K42" s="649" t="e">
        <f t="shared" si="56"/>
        <v>#DIV/0!</v>
      </c>
    </row>
    <row r="43" spans="1:11" ht="64.5" hidden="1" customHeight="1">
      <c r="A43" s="648" t="s">
        <v>501</v>
      </c>
      <c r="B43" s="63" t="s">
        <v>498</v>
      </c>
      <c r="C43" s="59">
        <v>0</v>
      </c>
      <c r="D43" s="59">
        <v>0</v>
      </c>
      <c r="E43" s="62">
        <v>0</v>
      </c>
      <c r="F43" s="60">
        <v>0</v>
      </c>
      <c r="G43" s="60">
        <v>0</v>
      </c>
      <c r="H43" s="62" t="e">
        <f t="shared" si="53"/>
        <v>#DIV/0!</v>
      </c>
      <c r="I43" s="65">
        <f t="shared" si="54"/>
        <v>0</v>
      </c>
      <c r="J43" s="65">
        <f t="shared" si="55"/>
        <v>0</v>
      </c>
      <c r="K43" s="649" t="e">
        <f t="shared" si="56"/>
        <v>#DIV/0!</v>
      </c>
    </row>
    <row r="44" spans="1:11" ht="114" customHeight="1">
      <c r="A44" s="658" t="s">
        <v>522</v>
      </c>
      <c r="B44" s="181" t="s">
        <v>519</v>
      </c>
      <c r="C44" s="74">
        <f>C45+C46</f>
        <v>60000</v>
      </c>
      <c r="D44" s="74">
        <f>D45+D46</f>
        <v>60000</v>
      </c>
      <c r="E44" s="75">
        <f t="shared" si="1"/>
        <v>100</v>
      </c>
      <c r="F44" s="76">
        <f>F45+F46</f>
        <v>3679422</v>
      </c>
      <c r="G44" s="76">
        <f>G45+G46</f>
        <v>3678089.22</v>
      </c>
      <c r="H44" s="75">
        <f t="shared" ref="H44" si="57">G44/F44*100</f>
        <v>99.963777462873253</v>
      </c>
      <c r="I44" s="77">
        <f t="shared" ref="I44:I48" si="58">C44+F44</f>
        <v>3739422</v>
      </c>
      <c r="J44" s="77">
        <f t="shared" ref="J44:J48" si="59">D44+G44</f>
        <v>3738089.22</v>
      </c>
      <c r="K44" s="655">
        <f t="shared" ref="K44:K48" si="60">J44/I44*100</f>
        <v>99.964358662916368</v>
      </c>
    </row>
    <row r="45" spans="1:11" ht="114" customHeight="1">
      <c r="A45" s="648" t="s">
        <v>523</v>
      </c>
      <c r="B45" s="63" t="s">
        <v>520</v>
      </c>
      <c r="C45" s="59">
        <v>60000</v>
      </c>
      <c r="D45" s="59">
        <v>60000</v>
      </c>
      <c r="E45" s="62">
        <f t="shared" si="1"/>
        <v>100</v>
      </c>
      <c r="F45" s="60">
        <v>1490300</v>
      </c>
      <c r="G45" s="60">
        <v>1489107</v>
      </c>
      <c r="H45" s="62">
        <f t="shared" ref="H45:H46" si="61">G45/F45*100</f>
        <v>99.919949003556326</v>
      </c>
      <c r="I45" s="65">
        <f t="shared" si="58"/>
        <v>1550300</v>
      </c>
      <c r="J45" s="65">
        <f t="shared" si="59"/>
        <v>1549107</v>
      </c>
      <c r="K45" s="649">
        <v>0</v>
      </c>
    </row>
    <row r="46" spans="1:11" ht="94.5" customHeight="1">
      <c r="A46" s="648" t="s">
        <v>524</v>
      </c>
      <c r="B46" s="108" t="s">
        <v>521</v>
      </c>
      <c r="C46" s="59">
        <v>0</v>
      </c>
      <c r="D46" s="59">
        <v>0</v>
      </c>
      <c r="E46" s="62">
        <v>0</v>
      </c>
      <c r="F46" s="60">
        <v>2189122</v>
      </c>
      <c r="G46" s="60">
        <v>2188982.2200000002</v>
      </c>
      <c r="H46" s="62">
        <f t="shared" si="61"/>
        <v>99.993614791683612</v>
      </c>
      <c r="I46" s="65">
        <f t="shared" si="58"/>
        <v>2189122</v>
      </c>
      <c r="J46" s="65">
        <f t="shared" si="59"/>
        <v>2188982.2200000002</v>
      </c>
      <c r="K46" s="649">
        <f t="shared" si="60"/>
        <v>99.993614791683612</v>
      </c>
    </row>
    <row r="47" spans="1:11" ht="40.049999999999997" customHeight="1">
      <c r="A47" s="648" t="s">
        <v>537</v>
      </c>
      <c r="B47" s="181" t="s">
        <v>535</v>
      </c>
      <c r="C47" s="74">
        <f>C48</f>
        <v>2916300</v>
      </c>
      <c r="D47" s="74">
        <f>D48</f>
        <v>1570593.59</v>
      </c>
      <c r="E47" s="75">
        <v>0</v>
      </c>
      <c r="F47" s="76">
        <f>F48</f>
        <v>3408400</v>
      </c>
      <c r="G47" s="76">
        <f>G48</f>
        <v>0</v>
      </c>
      <c r="H47" s="75">
        <v>0</v>
      </c>
      <c r="I47" s="65">
        <f t="shared" si="58"/>
        <v>6324700</v>
      </c>
      <c r="J47" s="65">
        <f t="shared" si="59"/>
        <v>1570593.59</v>
      </c>
      <c r="K47" s="649">
        <f t="shared" si="60"/>
        <v>24.832697044919129</v>
      </c>
    </row>
    <row r="48" spans="1:11" ht="63" customHeight="1" thickBot="1">
      <c r="A48" s="648" t="s">
        <v>538</v>
      </c>
      <c r="B48" s="81" t="s">
        <v>536</v>
      </c>
      <c r="C48" s="59">
        <v>2916300</v>
      </c>
      <c r="D48" s="59">
        <v>1570593.59</v>
      </c>
      <c r="E48" s="62">
        <v>0</v>
      </c>
      <c r="F48" s="60">
        <v>3408400</v>
      </c>
      <c r="G48" s="60">
        <v>0</v>
      </c>
      <c r="H48" s="62">
        <v>0</v>
      </c>
      <c r="I48" s="65">
        <f t="shared" si="58"/>
        <v>6324700</v>
      </c>
      <c r="J48" s="65">
        <f t="shared" si="59"/>
        <v>1570593.59</v>
      </c>
      <c r="K48" s="649">
        <f t="shared" si="60"/>
        <v>24.832697044919129</v>
      </c>
    </row>
    <row r="49" spans="1:11" s="21" customFormat="1" ht="26.55" customHeight="1" thickBot="1">
      <c r="A49" s="347" t="s">
        <v>303</v>
      </c>
      <c r="B49" s="324" t="s">
        <v>293</v>
      </c>
      <c r="C49" s="323">
        <f>C50+C51+C54+C56</f>
        <v>13157500</v>
      </c>
      <c r="D49" s="202">
        <f>D50+D51+D54+D56</f>
        <v>12300824.010000002</v>
      </c>
      <c r="E49" s="203">
        <f t="shared" si="1"/>
        <v>93.489067148014442</v>
      </c>
      <c r="F49" s="204">
        <f>F56</f>
        <v>9400</v>
      </c>
      <c r="G49" s="204">
        <f>G56</f>
        <v>9350</v>
      </c>
      <c r="H49" s="203">
        <f t="shared" ref="H49" si="62">G49/F49*100</f>
        <v>99.468085106382972</v>
      </c>
      <c r="I49" s="205">
        <f t="shared" si="41"/>
        <v>13166900</v>
      </c>
      <c r="J49" s="205">
        <f>D49+G49</f>
        <v>12310174.010000002</v>
      </c>
      <c r="K49" s="206">
        <f t="shared" si="43"/>
        <v>93.493335637089984</v>
      </c>
    </row>
    <row r="50" spans="1:11" s="21" customFormat="1" ht="33" thickBot="1">
      <c r="A50" s="660" t="s">
        <v>364</v>
      </c>
      <c r="B50" s="214" t="s">
        <v>360</v>
      </c>
      <c r="C50" s="187">
        <v>5904000</v>
      </c>
      <c r="D50" s="187">
        <v>5378298.6600000001</v>
      </c>
      <c r="E50" s="188">
        <f t="shared" si="1"/>
        <v>91.095844512195129</v>
      </c>
      <c r="F50" s="189">
        <v>9400</v>
      </c>
      <c r="G50" s="189">
        <v>9350</v>
      </c>
      <c r="H50" s="252">
        <f t="shared" si="11"/>
        <v>99.468085106382972</v>
      </c>
      <c r="I50" s="112">
        <f t="shared" ref="I50" si="63">C50+F50</f>
        <v>5913400</v>
      </c>
      <c r="J50" s="112">
        <f t="shared" ref="J50" si="64">D50+G50</f>
        <v>5387648.6600000001</v>
      </c>
      <c r="K50" s="653">
        <f t="shared" si="43"/>
        <v>91.109153109886023</v>
      </c>
    </row>
    <row r="51" spans="1:11" ht="24.6" customHeight="1">
      <c r="A51" s="661" t="s">
        <v>304</v>
      </c>
      <c r="B51" s="181" t="s">
        <v>294</v>
      </c>
      <c r="C51" s="74">
        <f>C52+C53</f>
        <v>1798300</v>
      </c>
      <c r="D51" s="74">
        <f>D52+D53</f>
        <v>1522841.73</v>
      </c>
      <c r="E51" s="75">
        <f t="shared" si="1"/>
        <v>84.682296057387532</v>
      </c>
      <c r="F51" s="76">
        <f>F52+F53</f>
        <v>0</v>
      </c>
      <c r="G51" s="76">
        <f>G52+G53</f>
        <v>0</v>
      </c>
      <c r="H51" s="75">
        <v>0</v>
      </c>
      <c r="I51" s="77">
        <f t="shared" si="41"/>
        <v>1798300</v>
      </c>
      <c r="J51" s="77">
        <f t="shared" si="42"/>
        <v>1522841.73</v>
      </c>
      <c r="K51" s="655">
        <f t="shared" si="43"/>
        <v>84.682296057387532</v>
      </c>
    </row>
    <row r="52" spans="1:11" ht="49.2" customHeight="1">
      <c r="A52" s="662" t="s">
        <v>305</v>
      </c>
      <c r="B52" s="63" t="s">
        <v>295</v>
      </c>
      <c r="C52" s="59">
        <v>418200</v>
      </c>
      <c r="D52" s="59">
        <v>302734.99</v>
      </c>
      <c r="E52" s="62">
        <f t="shared" si="1"/>
        <v>72.390002391200383</v>
      </c>
      <c r="F52" s="60">
        <v>0</v>
      </c>
      <c r="G52" s="60">
        <v>0</v>
      </c>
      <c r="H52" s="62">
        <v>0</v>
      </c>
      <c r="I52" s="65">
        <f t="shared" si="41"/>
        <v>418200</v>
      </c>
      <c r="J52" s="65">
        <f t="shared" si="42"/>
        <v>302734.99</v>
      </c>
      <c r="K52" s="649">
        <f t="shared" si="43"/>
        <v>72.390002391200383</v>
      </c>
    </row>
    <row r="53" spans="1:11" ht="47.4" thickBot="1">
      <c r="A53" s="663" t="s">
        <v>306</v>
      </c>
      <c r="B53" s="63" t="s">
        <v>296</v>
      </c>
      <c r="C53" s="59">
        <v>1380100</v>
      </c>
      <c r="D53" s="59">
        <v>1220106.74</v>
      </c>
      <c r="E53" s="62">
        <f t="shared" si="1"/>
        <v>88.407125570610816</v>
      </c>
      <c r="F53" s="60">
        <v>0</v>
      </c>
      <c r="G53" s="60">
        <v>0</v>
      </c>
      <c r="H53" s="62">
        <v>0</v>
      </c>
      <c r="I53" s="65">
        <f t="shared" si="41"/>
        <v>1380100</v>
      </c>
      <c r="J53" s="65">
        <f t="shared" si="42"/>
        <v>1220106.74</v>
      </c>
      <c r="K53" s="649">
        <f t="shared" si="43"/>
        <v>88.407125570610816</v>
      </c>
    </row>
    <row r="54" spans="1:11" ht="33" hidden="1" thickBot="1">
      <c r="A54" s="661" t="s">
        <v>365</v>
      </c>
      <c r="B54" s="181" t="s">
        <v>361</v>
      </c>
      <c r="C54" s="74">
        <f>C55</f>
        <v>0</v>
      </c>
      <c r="D54" s="74">
        <f>D55</f>
        <v>0</v>
      </c>
      <c r="E54" s="75" t="e">
        <f t="shared" ref="E54" si="65">D54/C54*100</f>
        <v>#DIV/0!</v>
      </c>
      <c r="F54" s="76">
        <v>0</v>
      </c>
      <c r="G54" s="76">
        <v>0</v>
      </c>
      <c r="H54" s="75">
        <v>0</v>
      </c>
      <c r="I54" s="77">
        <f t="shared" si="41"/>
        <v>0</v>
      </c>
      <c r="J54" s="77">
        <f t="shared" si="42"/>
        <v>0</v>
      </c>
      <c r="K54" s="655" t="e">
        <f t="shared" ref="K54" si="66">J54/I54*100</f>
        <v>#DIV/0!</v>
      </c>
    </row>
    <row r="55" spans="1:11" ht="31.8" hidden="1" thickBot="1">
      <c r="A55" s="663" t="s">
        <v>366</v>
      </c>
      <c r="B55" s="63" t="s">
        <v>362</v>
      </c>
      <c r="C55" s="59">
        <v>0</v>
      </c>
      <c r="D55" s="59">
        <v>0</v>
      </c>
      <c r="E55" s="62" t="e">
        <f t="shared" ref="E55" si="67">D55/C55*100</f>
        <v>#DIV/0!</v>
      </c>
      <c r="F55" s="60">
        <v>0</v>
      </c>
      <c r="G55" s="60">
        <v>0</v>
      </c>
      <c r="H55" s="62">
        <v>0</v>
      </c>
      <c r="I55" s="65">
        <f t="shared" ref="I55:I56" si="68">C55+F55</f>
        <v>0</v>
      </c>
      <c r="J55" s="65">
        <f t="shared" ref="J55:J56" si="69">D55+G55</f>
        <v>0</v>
      </c>
      <c r="K55" s="649" t="e">
        <f t="shared" ref="K55:K56" si="70">J55/I55*100</f>
        <v>#DIV/0!</v>
      </c>
    </row>
    <row r="56" spans="1:11" ht="33" thickBot="1">
      <c r="A56" s="654" t="s">
        <v>367</v>
      </c>
      <c r="B56" s="181" t="s">
        <v>363</v>
      </c>
      <c r="C56" s="74">
        <f>C57</f>
        <v>5455200</v>
      </c>
      <c r="D56" s="74">
        <f>D57</f>
        <v>5399683.6200000001</v>
      </c>
      <c r="E56" s="75">
        <f t="shared" ref="E56:E57" si="71">D56/C56*100</f>
        <v>98.982321821381433</v>
      </c>
      <c r="F56" s="76">
        <f>F57</f>
        <v>9400</v>
      </c>
      <c r="G56" s="76">
        <f>G57</f>
        <v>9350</v>
      </c>
      <c r="H56" s="252">
        <f t="shared" si="11"/>
        <v>99.468085106382972</v>
      </c>
      <c r="I56" s="77">
        <f t="shared" si="68"/>
        <v>5464600</v>
      </c>
      <c r="J56" s="77">
        <f t="shared" si="69"/>
        <v>5409033.6200000001</v>
      </c>
      <c r="K56" s="655">
        <f t="shared" si="70"/>
        <v>98.983157413168399</v>
      </c>
    </row>
    <row r="57" spans="1:11" ht="27" customHeight="1" thickBot="1">
      <c r="A57" s="664" t="s">
        <v>484</v>
      </c>
      <c r="B57" s="108" t="s">
        <v>485</v>
      </c>
      <c r="C57" s="122">
        <v>5455200</v>
      </c>
      <c r="D57" s="122">
        <v>5399683.6200000001</v>
      </c>
      <c r="E57" s="123">
        <f t="shared" si="71"/>
        <v>98.982321821381433</v>
      </c>
      <c r="F57" s="124">
        <v>9400</v>
      </c>
      <c r="G57" s="124">
        <v>9350</v>
      </c>
      <c r="H57" s="123">
        <f>G57/F57*100</f>
        <v>99.468085106382972</v>
      </c>
      <c r="I57" s="125">
        <f t="shared" ref="I57" si="72">C57+F57</f>
        <v>5464600</v>
      </c>
      <c r="J57" s="125">
        <f t="shared" ref="J57" si="73">D57+G57</f>
        <v>5409033.6200000001</v>
      </c>
      <c r="K57" s="651">
        <f t="shared" ref="K57" si="74">J57/I57*100</f>
        <v>98.983157413168399</v>
      </c>
    </row>
    <row r="58" spans="1:11" s="21" customFormat="1" ht="39.450000000000003" customHeight="1" thickBot="1">
      <c r="A58" s="242" t="s">
        <v>165</v>
      </c>
      <c r="B58" s="192" t="s">
        <v>166</v>
      </c>
      <c r="C58" s="193">
        <f>C59+C63+C67+C72+C73+C78+C71+C74+C69+C77+C76+C65</f>
        <v>27853859</v>
      </c>
      <c r="D58" s="193">
        <f>D59+D63+D67+D72+D73+D78+D71+D74+D69+D77+D76+D65</f>
        <v>24693083.960000001</v>
      </c>
      <c r="E58" s="194">
        <f t="shared" si="1"/>
        <v>88.652290370249958</v>
      </c>
      <c r="F58" s="120">
        <f>F59+F63+F67+F72+F73+F78+F77</f>
        <v>257769</v>
      </c>
      <c r="G58" s="120">
        <f>G59+G63+G67+G72+G73+G78+G77</f>
        <v>232912.71</v>
      </c>
      <c r="H58" s="194">
        <f t="shared" si="11"/>
        <v>90.357145351070145</v>
      </c>
      <c r="I58" s="195">
        <f t="shared" si="12"/>
        <v>28111628</v>
      </c>
      <c r="J58" s="195">
        <f t="shared" si="13"/>
        <v>24925996.670000002</v>
      </c>
      <c r="K58" s="196">
        <f t="shared" si="2"/>
        <v>88.667923003249754</v>
      </c>
    </row>
    <row r="59" spans="1:11" ht="64.8">
      <c r="A59" s="652" t="s">
        <v>368</v>
      </c>
      <c r="B59" s="214" t="s">
        <v>370</v>
      </c>
      <c r="C59" s="187">
        <f>C60+C61+C62</f>
        <v>1332200</v>
      </c>
      <c r="D59" s="187">
        <f>D60+D61+D62</f>
        <v>1174471.81</v>
      </c>
      <c r="E59" s="188">
        <f t="shared" si="1"/>
        <v>88.160322023720155</v>
      </c>
      <c r="F59" s="189">
        <f t="shared" ref="F59:G59" si="75">F60+F61+F62</f>
        <v>0</v>
      </c>
      <c r="G59" s="189">
        <f t="shared" si="75"/>
        <v>0</v>
      </c>
      <c r="H59" s="188">
        <v>0</v>
      </c>
      <c r="I59" s="112">
        <f t="shared" si="12"/>
        <v>1332200</v>
      </c>
      <c r="J59" s="112">
        <f t="shared" si="13"/>
        <v>1174471.81</v>
      </c>
      <c r="K59" s="653">
        <f t="shared" si="2"/>
        <v>88.160322023720155</v>
      </c>
    </row>
    <row r="60" spans="1:11" ht="31.2">
      <c r="A60" s="648" t="s">
        <v>369</v>
      </c>
      <c r="B60" s="63" t="s">
        <v>371</v>
      </c>
      <c r="C60" s="59">
        <v>7200</v>
      </c>
      <c r="D60" s="59">
        <v>3176.51</v>
      </c>
      <c r="E60" s="62">
        <f t="shared" si="1"/>
        <v>44.118194444444448</v>
      </c>
      <c r="F60" s="60">
        <v>0</v>
      </c>
      <c r="G60" s="60">
        <v>0</v>
      </c>
      <c r="H60" s="62">
        <v>0</v>
      </c>
      <c r="I60" s="65">
        <f t="shared" si="12"/>
        <v>7200</v>
      </c>
      <c r="J60" s="65">
        <f t="shared" si="13"/>
        <v>3176.51</v>
      </c>
      <c r="K60" s="649">
        <f t="shared" si="2"/>
        <v>44.118194444444448</v>
      </c>
    </row>
    <row r="61" spans="1:11" ht="46.8">
      <c r="A61" s="648" t="s">
        <v>373</v>
      </c>
      <c r="B61" s="63" t="s">
        <v>372</v>
      </c>
      <c r="C61" s="59">
        <v>1200000</v>
      </c>
      <c r="D61" s="59">
        <v>1112400</v>
      </c>
      <c r="E61" s="62">
        <f t="shared" ref="E61:E62" si="76">D61/C61*100</f>
        <v>92.7</v>
      </c>
      <c r="F61" s="60">
        <v>0</v>
      </c>
      <c r="G61" s="60">
        <v>0</v>
      </c>
      <c r="H61" s="62">
        <v>0</v>
      </c>
      <c r="I61" s="65">
        <f t="shared" ref="I61:I62" si="77">C61+F61</f>
        <v>1200000</v>
      </c>
      <c r="J61" s="65">
        <f t="shared" ref="J61:J62" si="78">D61+G61</f>
        <v>1112400</v>
      </c>
      <c r="K61" s="649">
        <f t="shared" ref="K61:K62" si="79">J61/I61*100</f>
        <v>92.7</v>
      </c>
    </row>
    <row r="62" spans="1:11" ht="46.8">
      <c r="A62" s="648" t="s">
        <v>324</v>
      </c>
      <c r="B62" s="63" t="s">
        <v>325</v>
      </c>
      <c r="C62" s="59">
        <v>125000</v>
      </c>
      <c r="D62" s="59">
        <v>58895.3</v>
      </c>
      <c r="E62" s="62">
        <f t="shared" si="76"/>
        <v>47.116240000000005</v>
      </c>
      <c r="F62" s="60">
        <v>0</v>
      </c>
      <c r="G62" s="60">
        <v>0</v>
      </c>
      <c r="H62" s="62">
        <v>0</v>
      </c>
      <c r="I62" s="65">
        <f t="shared" si="77"/>
        <v>125000</v>
      </c>
      <c r="J62" s="65">
        <f t="shared" si="78"/>
        <v>58895.3</v>
      </c>
      <c r="K62" s="649">
        <f t="shared" si="79"/>
        <v>47.116240000000005</v>
      </c>
    </row>
    <row r="63" spans="1:11" ht="64.8">
      <c r="A63" s="661" t="s">
        <v>380</v>
      </c>
      <c r="B63" s="181" t="s">
        <v>374</v>
      </c>
      <c r="C63" s="74">
        <f>C64</f>
        <v>5704100</v>
      </c>
      <c r="D63" s="74">
        <f>D64</f>
        <v>5703125.1500000004</v>
      </c>
      <c r="E63" s="75">
        <f t="shared" si="1"/>
        <v>99.982909661471581</v>
      </c>
      <c r="F63" s="76">
        <f>F64</f>
        <v>257769</v>
      </c>
      <c r="G63" s="76">
        <f>G64</f>
        <v>232912.71</v>
      </c>
      <c r="H63" s="75">
        <f t="shared" si="11"/>
        <v>90.357145351070145</v>
      </c>
      <c r="I63" s="77">
        <f t="shared" ref="I63:I66" si="80">C63+F63</f>
        <v>5961869</v>
      </c>
      <c r="J63" s="77">
        <f t="shared" ref="J63:J66" si="81">D63+G63</f>
        <v>5936037.8600000003</v>
      </c>
      <c r="K63" s="655">
        <f t="shared" ref="K63:K66" si="82">J63/I63*100</f>
        <v>99.566727480929231</v>
      </c>
    </row>
    <row r="64" spans="1:11" ht="74.55" customHeight="1">
      <c r="A64" s="663" t="s">
        <v>381</v>
      </c>
      <c r="B64" s="63" t="s">
        <v>375</v>
      </c>
      <c r="C64" s="59">
        <v>5704100</v>
      </c>
      <c r="D64" s="59">
        <v>5703125.1500000004</v>
      </c>
      <c r="E64" s="62">
        <f t="shared" si="1"/>
        <v>99.982909661471581</v>
      </c>
      <c r="F64" s="60">
        <v>257769</v>
      </c>
      <c r="G64" s="60">
        <v>232912.71</v>
      </c>
      <c r="H64" s="62">
        <f t="shared" si="11"/>
        <v>90.357145351070145</v>
      </c>
      <c r="I64" s="65">
        <f t="shared" si="80"/>
        <v>5961869</v>
      </c>
      <c r="J64" s="65">
        <f t="shared" si="81"/>
        <v>5936037.8600000003</v>
      </c>
      <c r="K64" s="649">
        <f t="shared" si="82"/>
        <v>99.566727480929231</v>
      </c>
    </row>
    <row r="65" spans="1:11" ht="39" customHeight="1">
      <c r="A65" s="663" t="s">
        <v>541</v>
      </c>
      <c r="B65" s="181" t="s">
        <v>539</v>
      </c>
      <c r="C65" s="74">
        <f>C66</f>
        <v>180000</v>
      </c>
      <c r="D65" s="74">
        <f>D66</f>
        <v>81520.899999999994</v>
      </c>
      <c r="E65" s="75">
        <f t="shared" ref="E65:E66" si="83">D65/C65*100</f>
        <v>45.289388888888887</v>
      </c>
      <c r="F65" s="76">
        <f>F66</f>
        <v>0</v>
      </c>
      <c r="G65" s="76">
        <f>G66</f>
        <v>0</v>
      </c>
      <c r="H65" s="75">
        <v>0</v>
      </c>
      <c r="I65" s="77">
        <f t="shared" si="80"/>
        <v>180000</v>
      </c>
      <c r="J65" s="77">
        <f t="shared" si="81"/>
        <v>81520.899999999994</v>
      </c>
      <c r="K65" s="655">
        <f t="shared" si="82"/>
        <v>45.289388888888887</v>
      </c>
    </row>
    <row r="66" spans="1:11" ht="41.55" customHeight="1">
      <c r="A66" s="663" t="s">
        <v>542</v>
      </c>
      <c r="B66" s="63" t="s">
        <v>540</v>
      </c>
      <c r="C66" s="59">
        <v>180000</v>
      </c>
      <c r="D66" s="59">
        <v>81520.899999999994</v>
      </c>
      <c r="E66" s="62">
        <f t="shared" si="83"/>
        <v>45.289388888888887</v>
      </c>
      <c r="F66" s="60">
        <v>0</v>
      </c>
      <c r="G66" s="60">
        <v>0</v>
      </c>
      <c r="H66" s="62">
        <v>0</v>
      </c>
      <c r="I66" s="65">
        <f t="shared" si="80"/>
        <v>180000</v>
      </c>
      <c r="J66" s="65">
        <f t="shared" si="81"/>
        <v>81520.899999999994</v>
      </c>
      <c r="K66" s="649">
        <f t="shared" si="82"/>
        <v>45.289388888888887</v>
      </c>
    </row>
    <row r="67" spans="1:11" ht="32.4">
      <c r="A67" s="658" t="s">
        <v>382</v>
      </c>
      <c r="B67" s="181" t="s">
        <v>376</v>
      </c>
      <c r="C67" s="74">
        <f>C68</f>
        <v>1355500</v>
      </c>
      <c r="D67" s="74">
        <f>D68</f>
        <v>1347610.51</v>
      </c>
      <c r="E67" s="75">
        <f t="shared" si="1"/>
        <v>99.41796458871265</v>
      </c>
      <c r="F67" s="76">
        <f>F68</f>
        <v>0</v>
      </c>
      <c r="G67" s="76">
        <f>G68</f>
        <v>0</v>
      </c>
      <c r="H67" s="75">
        <v>0</v>
      </c>
      <c r="I67" s="77">
        <f t="shared" si="12"/>
        <v>1355500</v>
      </c>
      <c r="J67" s="77">
        <f t="shared" si="13"/>
        <v>1347610.51</v>
      </c>
      <c r="K67" s="655">
        <f t="shared" si="2"/>
        <v>99.41796458871265</v>
      </c>
    </row>
    <row r="68" spans="1:11" ht="31.2">
      <c r="A68" s="648" t="s">
        <v>383</v>
      </c>
      <c r="B68" s="63" t="s">
        <v>377</v>
      </c>
      <c r="C68" s="59">
        <v>1355500</v>
      </c>
      <c r="D68" s="59">
        <v>1347610.51</v>
      </c>
      <c r="E68" s="62">
        <f t="shared" si="1"/>
        <v>99.41796458871265</v>
      </c>
      <c r="F68" s="60">
        <v>0</v>
      </c>
      <c r="G68" s="60">
        <v>0</v>
      </c>
      <c r="H68" s="62">
        <v>0</v>
      </c>
      <c r="I68" s="65">
        <f t="shared" si="12"/>
        <v>1355500</v>
      </c>
      <c r="J68" s="65">
        <f t="shared" si="13"/>
        <v>1347610.51</v>
      </c>
      <c r="K68" s="649">
        <f t="shared" si="2"/>
        <v>99.41796458871265</v>
      </c>
    </row>
    <row r="69" spans="1:11" ht="19.95" hidden="1" customHeight="1">
      <c r="A69" s="658" t="s">
        <v>451</v>
      </c>
      <c r="B69" s="181" t="s">
        <v>449</v>
      </c>
      <c r="C69" s="74">
        <f>C70</f>
        <v>0</v>
      </c>
      <c r="D69" s="74">
        <f>D70</f>
        <v>0</v>
      </c>
      <c r="E69" s="75" t="e">
        <f t="shared" ref="E69:E70" si="84">D69/C69*100</f>
        <v>#DIV/0!</v>
      </c>
      <c r="F69" s="76">
        <v>0</v>
      </c>
      <c r="G69" s="76">
        <v>0</v>
      </c>
      <c r="H69" s="75">
        <v>0</v>
      </c>
      <c r="I69" s="77">
        <f t="shared" ref="I69:I70" si="85">C69+F69</f>
        <v>0</v>
      </c>
      <c r="J69" s="77">
        <f t="shared" ref="J69:J70" si="86">D69+G69</f>
        <v>0</v>
      </c>
      <c r="K69" s="655" t="e">
        <f t="shared" ref="K69:K70" si="87">J69/I69*100</f>
        <v>#DIV/0!</v>
      </c>
    </row>
    <row r="70" spans="1:11" ht="21" hidden="1" customHeight="1">
      <c r="A70" s="648" t="s">
        <v>452</v>
      </c>
      <c r="B70" s="63" t="s">
        <v>450</v>
      </c>
      <c r="C70" s="59">
        <v>0</v>
      </c>
      <c r="D70" s="59">
        <v>0</v>
      </c>
      <c r="E70" s="62" t="e">
        <f t="shared" si="84"/>
        <v>#DIV/0!</v>
      </c>
      <c r="F70" s="60">
        <v>0</v>
      </c>
      <c r="G70" s="60">
        <v>0</v>
      </c>
      <c r="H70" s="62">
        <v>0</v>
      </c>
      <c r="I70" s="65">
        <f t="shared" si="85"/>
        <v>0</v>
      </c>
      <c r="J70" s="65">
        <f t="shared" si="86"/>
        <v>0</v>
      </c>
      <c r="K70" s="649" t="e">
        <f t="shared" si="87"/>
        <v>#DIV/0!</v>
      </c>
    </row>
    <row r="71" spans="1:11" ht="64.05" customHeight="1">
      <c r="A71" s="658" t="s">
        <v>430</v>
      </c>
      <c r="B71" s="181" t="s">
        <v>429</v>
      </c>
      <c r="C71" s="74">
        <v>200000</v>
      </c>
      <c r="D71" s="74">
        <v>138330.6</v>
      </c>
      <c r="E71" s="75">
        <f t="shared" ref="E71" si="88">D71/C71*100</f>
        <v>69.165300000000002</v>
      </c>
      <c r="F71" s="76">
        <v>0</v>
      </c>
      <c r="G71" s="76">
        <v>0</v>
      </c>
      <c r="H71" s="75">
        <v>0</v>
      </c>
      <c r="I71" s="77">
        <f t="shared" ref="I71" si="89">C71+F71</f>
        <v>200000</v>
      </c>
      <c r="J71" s="77">
        <f t="shared" ref="J71" si="90">D71+G71</f>
        <v>138330.6</v>
      </c>
      <c r="K71" s="655">
        <f t="shared" ref="K71" si="91">J71/I71*100</f>
        <v>69.165300000000002</v>
      </c>
    </row>
    <row r="72" spans="1:11" ht="97.5" customHeight="1">
      <c r="A72" s="658" t="s">
        <v>413</v>
      </c>
      <c r="B72" s="181" t="s">
        <v>378</v>
      </c>
      <c r="C72" s="74">
        <v>1600000</v>
      </c>
      <c r="D72" s="74">
        <v>1506329</v>
      </c>
      <c r="E72" s="75">
        <f t="shared" ref="E72:E79" si="92">D72/C72*100</f>
        <v>94.145562499999997</v>
      </c>
      <c r="F72" s="76">
        <v>0</v>
      </c>
      <c r="G72" s="76">
        <v>0</v>
      </c>
      <c r="H72" s="75">
        <v>0</v>
      </c>
      <c r="I72" s="77">
        <f t="shared" si="12"/>
        <v>1600000</v>
      </c>
      <c r="J72" s="77">
        <f t="shared" si="13"/>
        <v>1506329</v>
      </c>
      <c r="K72" s="655">
        <f t="shared" si="2"/>
        <v>94.145562499999997</v>
      </c>
    </row>
    <row r="73" spans="1:11" ht="79.95" customHeight="1">
      <c r="A73" s="658" t="s">
        <v>414</v>
      </c>
      <c r="B73" s="181" t="s">
        <v>379</v>
      </c>
      <c r="C73" s="74">
        <v>550000</v>
      </c>
      <c r="D73" s="74">
        <v>453026.91</v>
      </c>
      <c r="E73" s="75">
        <f t="shared" si="92"/>
        <v>82.368529090909078</v>
      </c>
      <c r="F73" s="76">
        <v>0</v>
      </c>
      <c r="G73" s="76">
        <v>0</v>
      </c>
      <c r="H73" s="75">
        <v>0</v>
      </c>
      <c r="I73" s="77">
        <f t="shared" si="12"/>
        <v>550000</v>
      </c>
      <c r="J73" s="77">
        <f t="shared" si="13"/>
        <v>453026.91</v>
      </c>
      <c r="K73" s="655">
        <f t="shared" si="2"/>
        <v>82.368529090909078</v>
      </c>
    </row>
    <row r="74" spans="1:11" ht="27" customHeight="1">
      <c r="A74" s="658" t="s">
        <v>433</v>
      </c>
      <c r="B74" s="181" t="s">
        <v>431</v>
      </c>
      <c r="C74" s="74">
        <f>C75</f>
        <v>301500</v>
      </c>
      <c r="D74" s="74">
        <f>D75</f>
        <v>301396</v>
      </c>
      <c r="E74" s="75">
        <f t="shared" ref="E74:E77" si="93">D74/C74*100</f>
        <v>99.965505804311775</v>
      </c>
      <c r="F74" s="76">
        <f>F75</f>
        <v>0</v>
      </c>
      <c r="G74" s="76">
        <f>G75</f>
        <v>0</v>
      </c>
      <c r="H74" s="75">
        <v>0</v>
      </c>
      <c r="I74" s="77">
        <f t="shared" ref="I74:I77" si="94">C74+F74</f>
        <v>301500</v>
      </c>
      <c r="J74" s="77">
        <f t="shared" ref="J74:J77" si="95">D74+G74</f>
        <v>301396</v>
      </c>
      <c r="K74" s="655">
        <f t="shared" ref="K74:K77" si="96">J74/I74*100</f>
        <v>99.965505804311775</v>
      </c>
    </row>
    <row r="75" spans="1:11" ht="54.45" customHeight="1">
      <c r="A75" s="648" t="s">
        <v>434</v>
      </c>
      <c r="B75" s="63" t="s">
        <v>432</v>
      </c>
      <c r="C75" s="59">
        <v>301500</v>
      </c>
      <c r="D75" s="59">
        <v>301396</v>
      </c>
      <c r="E75" s="62">
        <f t="shared" si="93"/>
        <v>99.965505804311775</v>
      </c>
      <c r="F75" s="60">
        <v>0</v>
      </c>
      <c r="G75" s="60">
        <v>0</v>
      </c>
      <c r="H75" s="62">
        <v>0</v>
      </c>
      <c r="I75" s="65">
        <f t="shared" si="94"/>
        <v>301500</v>
      </c>
      <c r="J75" s="65">
        <f t="shared" si="95"/>
        <v>301396</v>
      </c>
      <c r="K75" s="649">
        <f t="shared" si="96"/>
        <v>99.965505804311775</v>
      </c>
    </row>
    <row r="76" spans="1:11" ht="24" customHeight="1">
      <c r="A76" s="658" t="s">
        <v>487</v>
      </c>
      <c r="B76" s="181" t="s">
        <v>486</v>
      </c>
      <c r="C76" s="74">
        <v>350000</v>
      </c>
      <c r="D76" s="74">
        <v>198228.14</v>
      </c>
      <c r="E76" s="75">
        <f t="shared" ref="E76" si="97">D76/C76*100</f>
        <v>56.636611428571435</v>
      </c>
      <c r="F76" s="76">
        <v>0</v>
      </c>
      <c r="G76" s="76">
        <v>0</v>
      </c>
      <c r="H76" s="75">
        <v>0</v>
      </c>
      <c r="I76" s="77">
        <f t="shared" ref="I76" si="98">C76+F76</f>
        <v>350000</v>
      </c>
      <c r="J76" s="77">
        <f t="shared" ref="J76" si="99">D76+G76</f>
        <v>198228.14</v>
      </c>
      <c r="K76" s="655">
        <f t="shared" ref="K76" si="100">J76/I76*100</f>
        <v>56.636611428571435</v>
      </c>
    </row>
    <row r="77" spans="1:11" ht="64.05" customHeight="1">
      <c r="A77" s="658" t="s">
        <v>463</v>
      </c>
      <c r="B77" s="181" t="s">
        <v>462</v>
      </c>
      <c r="C77" s="74">
        <v>2176059</v>
      </c>
      <c r="D77" s="74">
        <v>1299331.3899999999</v>
      </c>
      <c r="E77" s="75">
        <f t="shared" si="93"/>
        <v>59.710301512964492</v>
      </c>
      <c r="F77" s="76">
        <v>0</v>
      </c>
      <c r="G77" s="76">
        <v>0</v>
      </c>
      <c r="H77" s="75">
        <v>0</v>
      </c>
      <c r="I77" s="77">
        <f t="shared" si="94"/>
        <v>2176059</v>
      </c>
      <c r="J77" s="77">
        <f t="shared" si="95"/>
        <v>1299331.3899999999</v>
      </c>
      <c r="K77" s="655">
        <f t="shared" si="96"/>
        <v>59.710301512964492</v>
      </c>
    </row>
    <row r="78" spans="1:11" ht="24" customHeight="1">
      <c r="A78" s="658" t="s">
        <v>167</v>
      </c>
      <c r="B78" s="181" t="s">
        <v>168</v>
      </c>
      <c r="C78" s="74">
        <f>C79</f>
        <v>14104500</v>
      </c>
      <c r="D78" s="74">
        <f>D79</f>
        <v>12489713.550000001</v>
      </c>
      <c r="E78" s="75">
        <f t="shared" si="92"/>
        <v>88.551267680527502</v>
      </c>
      <c r="F78" s="76">
        <f>F79</f>
        <v>0</v>
      </c>
      <c r="G78" s="76">
        <f>G79</f>
        <v>0</v>
      </c>
      <c r="H78" s="75">
        <v>0</v>
      </c>
      <c r="I78" s="77">
        <f t="shared" si="12"/>
        <v>14104500</v>
      </c>
      <c r="J78" s="77">
        <f t="shared" si="13"/>
        <v>12489713.550000001</v>
      </c>
      <c r="K78" s="655">
        <f t="shared" si="2"/>
        <v>88.551267680527502</v>
      </c>
    </row>
    <row r="79" spans="1:11" ht="31.8" thickBot="1">
      <c r="A79" s="650" t="s">
        <v>169</v>
      </c>
      <c r="B79" s="108" t="s">
        <v>170</v>
      </c>
      <c r="C79" s="122">
        <v>14104500</v>
      </c>
      <c r="D79" s="122">
        <v>12489713.550000001</v>
      </c>
      <c r="E79" s="123">
        <f t="shared" si="92"/>
        <v>88.551267680527502</v>
      </c>
      <c r="F79" s="124">
        <v>0</v>
      </c>
      <c r="G79" s="124">
        <v>0</v>
      </c>
      <c r="H79" s="219">
        <v>0</v>
      </c>
      <c r="I79" s="125">
        <f t="shared" si="12"/>
        <v>14104500</v>
      </c>
      <c r="J79" s="125">
        <f t="shared" si="13"/>
        <v>12489713.550000001</v>
      </c>
      <c r="K79" s="651">
        <f t="shared" si="2"/>
        <v>88.551267680527502</v>
      </c>
    </row>
    <row r="80" spans="1:11" s="21" customFormat="1" ht="24" customHeight="1" thickBot="1">
      <c r="A80" s="242" t="s">
        <v>171</v>
      </c>
      <c r="B80" s="192" t="s">
        <v>172</v>
      </c>
      <c r="C80" s="193">
        <f>SUM(C81:C84)</f>
        <v>22934000</v>
      </c>
      <c r="D80" s="193">
        <f>SUM(D81:D84)</f>
        <v>21292607.670000002</v>
      </c>
      <c r="E80" s="194">
        <f t="shared" si="1"/>
        <v>92.842974055986744</v>
      </c>
      <c r="F80" s="201">
        <f>SUM(F81:F84)</f>
        <v>405762.5</v>
      </c>
      <c r="G80" s="201">
        <f>SUM(G81:G84)</f>
        <v>391916.5</v>
      </c>
      <c r="H80" s="252">
        <f t="shared" ref="H80" si="101">G80/F80*100</f>
        <v>96.587659036998247</v>
      </c>
      <c r="I80" s="195">
        <f t="shared" si="12"/>
        <v>23339762.5</v>
      </c>
      <c r="J80" s="195">
        <f t="shared" si="13"/>
        <v>21684524.170000002</v>
      </c>
      <c r="K80" s="196">
        <f t="shared" si="2"/>
        <v>92.908075521334041</v>
      </c>
    </row>
    <row r="81" spans="1:11" ht="22.95" customHeight="1">
      <c r="A81" s="652" t="s">
        <v>173</v>
      </c>
      <c r="B81" s="214" t="s">
        <v>174</v>
      </c>
      <c r="C81" s="187">
        <v>7769600</v>
      </c>
      <c r="D81" s="187">
        <v>7041172.1100000003</v>
      </c>
      <c r="E81" s="188">
        <f t="shared" si="1"/>
        <v>90.624641036861618</v>
      </c>
      <c r="F81" s="189">
        <v>203562.5</v>
      </c>
      <c r="G81" s="189">
        <v>203542.5</v>
      </c>
      <c r="H81" s="68">
        <f t="shared" si="11"/>
        <v>99.990175007675774</v>
      </c>
      <c r="I81" s="112">
        <f t="shared" si="12"/>
        <v>7973162.5</v>
      </c>
      <c r="J81" s="112">
        <f t="shared" si="13"/>
        <v>7244714.6100000003</v>
      </c>
      <c r="K81" s="653">
        <f t="shared" si="2"/>
        <v>90.863752118434817</v>
      </c>
    </row>
    <row r="82" spans="1:11" ht="21" customHeight="1">
      <c r="A82" s="658" t="s">
        <v>175</v>
      </c>
      <c r="B82" s="181" t="s">
        <v>176</v>
      </c>
      <c r="C82" s="74">
        <v>726200</v>
      </c>
      <c r="D82" s="74">
        <v>669634.21</v>
      </c>
      <c r="E82" s="75">
        <f t="shared" si="1"/>
        <v>92.210714679151735</v>
      </c>
      <c r="F82" s="76">
        <v>0</v>
      </c>
      <c r="G82" s="76">
        <v>0</v>
      </c>
      <c r="H82" s="75">
        <v>0</v>
      </c>
      <c r="I82" s="77">
        <f t="shared" si="12"/>
        <v>726200</v>
      </c>
      <c r="J82" s="77">
        <f t="shared" si="13"/>
        <v>669634.21</v>
      </c>
      <c r="K82" s="655">
        <f t="shared" si="2"/>
        <v>92.210714679151735</v>
      </c>
    </row>
    <row r="83" spans="1:11" ht="48.6">
      <c r="A83" s="658" t="s">
        <v>384</v>
      </c>
      <c r="B83" s="181" t="s">
        <v>177</v>
      </c>
      <c r="C83" s="74">
        <v>13944200</v>
      </c>
      <c r="D83" s="74">
        <v>13269853.35</v>
      </c>
      <c r="E83" s="75">
        <f t="shared" si="1"/>
        <v>95.163963153138937</v>
      </c>
      <c r="F83" s="76">
        <v>202200</v>
      </c>
      <c r="G83" s="76">
        <v>188374</v>
      </c>
      <c r="H83" s="68">
        <f t="shared" si="11"/>
        <v>93.162215628090991</v>
      </c>
      <c r="I83" s="77">
        <f t="shared" si="12"/>
        <v>14146400</v>
      </c>
      <c r="J83" s="77">
        <f t="shared" si="13"/>
        <v>13458227.35</v>
      </c>
      <c r="K83" s="655">
        <f t="shared" si="2"/>
        <v>95.135351396821804</v>
      </c>
    </row>
    <row r="84" spans="1:11" ht="32.4">
      <c r="A84" s="658" t="s">
        <v>178</v>
      </c>
      <c r="B84" s="181" t="s">
        <v>179</v>
      </c>
      <c r="C84" s="74">
        <f>C85</f>
        <v>494000</v>
      </c>
      <c r="D84" s="74">
        <f>D85</f>
        <v>311948</v>
      </c>
      <c r="E84" s="75">
        <f t="shared" si="1"/>
        <v>63.147368421052633</v>
      </c>
      <c r="F84" s="76">
        <v>0</v>
      </c>
      <c r="G84" s="76">
        <v>0</v>
      </c>
      <c r="H84" s="75">
        <v>0</v>
      </c>
      <c r="I84" s="77">
        <f t="shared" si="12"/>
        <v>494000</v>
      </c>
      <c r="J84" s="77">
        <f t="shared" si="13"/>
        <v>311948</v>
      </c>
      <c r="K84" s="655">
        <f t="shared" si="2"/>
        <v>63.147368421052633</v>
      </c>
    </row>
    <row r="85" spans="1:11" ht="18.600000000000001" thickBot="1">
      <c r="A85" s="650" t="s">
        <v>180</v>
      </c>
      <c r="B85" s="108" t="s">
        <v>181</v>
      </c>
      <c r="C85" s="122">
        <v>494000</v>
      </c>
      <c r="D85" s="122">
        <v>311948</v>
      </c>
      <c r="E85" s="123">
        <f t="shared" si="1"/>
        <v>63.147368421052633</v>
      </c>
      <c r="F85" s="124">
        <v>0</v>
      </c>
      <c r="G85" s="124">
        <v>0</v>
      </c>
      <c r="H85" s="123">
        <v>0</v>
      </c>
      <c r="I85" s="125">
        <f t="shared" si="12"/>
        <v>494000</v>
      </c>
      <c r="J85" s="125">
        <f t="shared" si="13"/>
        <v>311948</v>
      </c>
      <c r="K85" s="651">
        <f t="shared" si="2"/>
        <v>63.147368421052633</v>
      </c>
    </row>
    <row r="86" spans="1:11" s="21" customFormat="1" ht="24" customHeight="1" thickBot="1">
      <c r="A86" s="242" t="s">
        <v>182</v>
      </c>
      <c r="B86" s="210" t="s">
        <v>183</v>
      </c>
      <c r="C86" s="193">
        <f>C87+C89+C94+C91</f>
        <v>5412820</v>
      </c>
      <c r="D86" s="193">
        <f>D87+D89+D94+D91</f>
        <v>4984420.8499999996</v>
      </c>
      <c r="E86" s="194">
        <f t="shared" si="1"/>
        <v>92.085472082943824</v>
      </c>
      <c r="F86" s="120">
        <f>F91+F89+F94</f>
        <v>87000</v>
      </c>
      <c r="G86" s="338">
        <f>G91+G89+G94</f>
        <v>86999.959999999992</v>
      </c>
      <c r="H86" s="340">
        <f t="shared" si="11"/>
        <v>99.99995402298849</v>
      </c>
      <c r="I86" s="339">
        <f t="shared" si="12"/>
        <v>5499820</v>
      </c>
      <c r="J86" s="195">
        <f t="shared" si="13"/>
        <v>5071420.8099999996</v>
      </c>
      <c r="K86" s="196">
        <f t="shared" si="2"/>
        <v>92.210668894618365</v>
      </c>
    </row>
    <row r="87" spans="1:11" ht="18">
      <c r="A87" s="652" t="s">
        <v>184</v>
      </c>
      <c r="B87" s="214" t="s">
        <v>185</v>
      </c>
      <c r="C87" s="187">
        <f>C88</f>
        <v>318500</v>
      </c>
      <c r="D87" s="187">
        <f>D88</f>
        <v>298900</v>
      </c>
      <c r="E87" s="188">
        <f t="shared" si="1"/>
        <v>93.84615384615384</v>
      </c>
      <c r="F87" s="189">
        <v>0</v>
      </c>
      <c r="G87" s="189">
        <v>0</v>
      </c>
      <c r="H87" s="188">
        <v>0</v>
      </c>
      <c r="I87" s="112">
        <f t="shared" si="12"/>
        <v>318500</v>
      </c>
      <c r="J87" s="112">
        <f t="shared" si="13"/>
        <v>298900</v>
      </c>
      <c r="K87" s="653">
        <f t="shared" si="2"/>
        <v>93.84615384615384</v>
      </c>
    </row>
    <row r="88" spans="1:11" ht="39.6" customHeight="1">
      <c r="A88" s="648" t="s">
        <v>186</v>
      </c>
      <c r="B88" s="63" t="s">
        <v>187</v>
      </c>
      <c r="C88" s="59">
        <v>318500</v>
      </c>
      <c r="D88" s="59">
        <v>298900</v>
      </c>
      <c r="E88" s="62">
        <f t="shared" si="1"/>
        <v>93.84615384615384</v>
      </c>
      <c r="F88" s="60">
        <v>0</v>
      </c>
      <c r="G88" s="60">
        <v>0</v>
      </c>
      <c r="H88" s="62">
        <v>0</v>
      </c>
      <c r="I88" s="65">
        <f t="shared" si="12"/>
        <v>318500</v>
      </c>
      <c r="J88" s="65">
        <f t="shared" si="13"/>
        <v>298900</v>
      </c>
      <c r="K88" s="649">
        <f t="shared" si="2"/>
        <v>93.84615384615384</v>
      </c>
    </row>
    <row r="89" spans="1:11" ht="39" customHeight="1">
      <c r="A89" s="658" t="s">
        <v>387</v>
      </c>
      <c r="B89" s="181" t="s">
        <v>385</v>
      </c>
      <c r="C89" s="74">
        <f>C90</f>
        <v>2570900</v>
      </c>
      <c r="D89" s="74">
        <f>D90</f>
        <v>2248227.77</v>
      </c>
      <c r="E89" s="75">
        <f t="shared" ref="E89:E90" si="102">D89/C89*100</f>
        <v>87.449055583647748</v>
      </c>
      <c r="F89" s="76">
        <f>F90</f>
        <v>50000</v>
      </c>
      <c r="G89" s="76">
        <f>G90</f>
        <v>49999.96</v>
      </c>
      <c r="H89" s="75">
        <f t="shared" ref="H89:H90" si="103">G89/F89*100</f>
        <v>99.999920000000003</v>
      </c>
      <c r="I89" s="77">
        <f t="shared" ref="I89:I90" si="104">C89+F89</f>
        <v>2620900</v>
      </c>
      <c r="J89" s="77">
        <f t="shared" ref="J89:J90" si="105">D89+G89</f>
        <v>2298227.73</v>
      </c>
      <c r="K89" s="655">
        <f t="shared" ref="K89:K90" si="106">J89/I89*100</f>
        <v>87.688493647220426</v>
      </c>
    </row>
    <row r="90" spans="1:11" ht="40.799999999999997" customHeight="1">
      <c r="A90" s="648" t="s">
        <v>388</v>
      </c>
      <c r="B90" s="63" t="s">
        <v>386</v>
      </c>
      <c r="C90" s="59">
        <v>2570900</v>
      </c>
      <c r="D90" s="59">
        <v>2248227.77</v>
      </c>
      <c r="E90" s="62">
        <f t="shared" si="102"/>
        <v>87.449055583647748</v>
      </c>
      <c r="F90" s="60">
        <v>50000</v>
      </c>
      <c r="G90" s="60">
        <v>49999.96</v>
      </c>
      <c r="H90" s="62">
        <f t="shared" si="103"/>
        <v>99.999920000000003</v>
      </c>
      <c r="I90" s="65">
        <f t="shared" si="104"/>
        <v>2620900</v>
      </c>
      <c r="J90" s="65">
        <f t="shared" si="105"/>
        <v>2298227.73</v>
      </c>
      <c r="K90" s="649">
        <f t="shared" si="106"/>
        <v>87.688493647220426</v>
      </c>
    </row>
    <row r="91" spans="1:11" ht="36.450000000000003" customHeight="1">
      <c r="A91" s="658" t="s">
        <v>478</v>
      </c>
      <c r="B91" s="181" t="s">
        <v>477</v>
      </c>
      <c r="C91" s="74">
        <f>C92+C93</f>
        <v>362820</v>
      </c>
      <c r="D91" s="74">
        <f>D92+D93</f>
        <v>339230.99</v>
      </c>
      <c r="E91" s="75">
        <f t="shared" ref="E91" si="107">D91/C91*100</f>
        <v>93.498426216856842</v>
      </c>
      <c r="F91" s="76">
        <f>F92+F93</f>
        <v>0</v>
      </c>
      <c r="G91" s="76">
        <f>G92+G93</f>
        <v>0</v>
      </c>
      <c r="H91" s="75">
        <v>0</v>
      </c>
      <c r="I91" s="77">
        <f t="shared" ref="I91:I93" si="108">C91+F91</f>
        <v>362820</v>
      </c>
      <c r="J91" s="77">
        <f t="shared" ref="J91:J93" si="109">D91+G91</f>
        <v>339230.99</v>
      </c>
      <c r="K91" s="655">
        <f t="shared" ref="K91:K93" si="110">J91/I91*100</f>
        <v>93.498426216856842</v>
      </c>
    </row>
    <row r="92" spans="1:11" ht="34.200000000000003" customHeight="1">
      <c r="A92" s="648" t="s">
        <v>479</v>
      </c>
      <c r="B92" s="63" t="s">
        <v>476</v>
      </c>
      <c r="C92" s="59">
        <v>196500</v>
      </c>
      <c r="D92" s="59">
        <v>172982.59</v>
      </c>
      <c r="E92" s="62">
        <f t="shared" si="1"/>
        <v>88.031852417302801</v>
      </c>
      <c r="F92" s="60">
        <v>0</v>
      </c>
      <c r="G92" s="60">
        <v>0</v>
      </c>
      <c r="H92" s="62">
        <v>0</v>
      </c>
      <c r="I92" s="65">
        <f t="shared" si="108"/>
        <v>196500</v>
      </c>
      <c r="J92" s="65">
        <f t="shared" si="109"/>
        <v>172982.59</v>
      </c>
      <c r="K92" s="649">
        <f t="shared" si="110"/>
        <v>88.031852417302801</v>
      </c>
    </row>
    <row r="93" spans="1:11" ht="54" customHeight="1">
      <c r="A93" s="648" t="s">
        <v>489</v>
      </c>
      <c r="B93" s="63" t="s">
        <v>488</v>
      </c>
      <c r="C93" s="59">
        <v>166320</v>
      </c>
      <c r="D93" s="59">
        <v>166248.4</v>
      </c>
      <c r="E93" s="62">
        <f t="shared" si="1"/>
        <v>99.956950456950452</v>
      </c>
      <c r="F93" s="60">
        <v>0</v>
      </c>
      <c r="G93" s="60">
        <v>0</v>
      </c>
      <c r="H93" s="62">
        <v>0</v>
      </c>
      <c r="I93" s="65">
        <f t="shared" si="108"/>
        <v>166320</v>
      </c>
      <c r="J93" s="65">
        <f t="shared" si="109"/>
        <v>166248.4</v>
      </c>
      <c r="K93" s="649">
        <f t="shared" si="110"/>
        <v>99.956950456950452</v>
      </c>
    </row>
    <row r="94" spans="1:11" ht="32.4">
      <c r="A94" s="658" t="s">
        <v>188</v>
      </c>
      <c r="B94" s="181" t="s">
        <v>189</v>
      </c>
      <c r="C94" s="74">
        <f>SUM(C95:C96)</f>
        <v>2160600</v>
      </c>
      <c r="D94" s="74">
        <f>SUM(D95:D96)</f>
        <v>2098062.09</v>
      </c>
      <c r="E94" s="75">
        <f t="shared" si="1"/>
        <v>97.105530408219934</v>
      </c>
      <c r="F94" s="76">
        <f>F95+F96</f>
        <v>37000</v>
      </c>
      <c r="G94" s="76">
        <f>G95+G96</f>
        <v>37000</v>
      </c>
      <c r="H94" s="75">
        <f t="shared" si="11"/>
        <v>100</v>
      </c>
      <c r="I94" s="77">
        <f t="shared" si="12"/>
        <v>2197600</v>
      </c>
      <c r="J94" s="77">
        <f t="shared" si="13"/>
        <v>2135062.09</v>
      </c>
      <c r="K94" s="655">
        <f t="shared" si="2"/>
        <v>97.15426328722242</v>
      </c>
    </row>
    <row r="95" spans="1:11" ht="71.400000000000006" customHeight="1">
      <c r="A95" s="663" t="s">
        <v>307</v>
      </c>
      <c r="B95" s="63" t="s">
        <v>292</v>
      </c>
      <c r="C95" s="59">
        <v>1970600</v>
      </c>
      <c r="D95" s="59">
        <v>1952262.09</v>
      </c>
      <c r="E95" s="62">
        <f t="shared" si="1"/>
        <v>99.069425048208672</v>
      </c>
      <c r="F95" s="60">
        <v>37000</v>
      </c>
      <c r="G95" s="60">
        <v>37000</v>
      </c>
      <c r="H95" s="62">
        <f t="shared" si="11"/>
        <v>100</v>
      </c>
      <c r="I95" s="65">
        <f t="shared" si="12"/>
        <v>2007600</v>
      </c>
      <c r="J95" s="65">
        <f t="shared" si="13"/>
        <v>1989262.09</v>
      </c>
      <c r="K95" s="649">
        <f t="shared" si="2"/>
        <v>99.086575513050406</v>
      </c>
    </row>
    <row r="96" spans="1:11" ht="47.4" thickBot="1">
      <c r="A96" s="650" t="s">
        <v>190</v>
      </c>
      <c r="B96" s="108" t="s">
        <v>191</v>
      </c>
      <c r="C96" s="122">
        <v>190000</v>
      </c>
      <c r="D96" s="122">
        <v>145800</v>
      </c>
      <c r="E96" s="123">
        <f t="shared" si="1"/>
        <v>76.736842105263165</v>
      </c>
      <c r="F96" s="124">
        <v>0</v>
      </c>
      <c r="G96" s="124">
        <v>0</v>
      </c>
      <c r="H96" s="123">
        <v>0</v>
      </c>
      <c r="I96" s="125">
        <f t="shared" si="12"/>
        <v>190000</v>
      </c>
      <c r="J96" s="125">
        <f t="shared" si="13"/>
        <v>145800</v>
      </c>
      <c r="K96" s="651">
        <f t="shared" si="2"/>
        <v>76.736842105263165</v>
      </c>
    </row>
    <row r="97" spans="1:11" s="21" customFormat="1" ht="28.05" customHeight="1" thickBot="1">
      <c r="A97" s="242" t="s">
        <v>192</v>
      </c>
      <c r="B97" s="192" t="s">
        <v>193</v>
      </c>
      <c r="C97" s="193">
        <f>C102+C98+C103+C105+C101</f>
        <v>25321749</v>
      </c>
      <c r="D97" s="193">
        <f>D102+D98+D103+D105+D101</f>
        <v>24819570.449999999</v>
      </c>
      <c r="E97" s="194">
        <f t="shared" si="1"/>
        <v>98.01680938390156</v>
      </c>
      <c r="F97" s="120">
        <f>F98+F102+F106</f>
        <v>2491824.83</v>
      </c>
      <c r="G97" s="120">
        <f>G98+G102+G106</f>
        <v>2421192.46</v>
      </c>
      <c r="H97" s="194">
        <f t="shared" si="11"/>
        <v>97.165435982913777</v>
      </c>
      <c r="I97" s="195">
        <f t="shared" si="12"/>
        <v>27813573.829999998</v>
      </c>
      <c r="J97" s="195">
        <f t="shared" si="13"/>
        <v>27240762.91</v>
      </c>
      <c r="K97" s="196">
        <f t="shared" si="2"/>
        <v>97.94053463427214</v>
      </c>
    </row>
    <row r="98" spans="1:11" ht="38.4" customHeight="1">
      <c r="A98" s="652" t="s">
        <v>194</v>
      </c>
      <c r="B98" s="214" t="s">
        <v>195</v>
      </c>
      <c r="C98" s="187">
        <f>C100</f>
        <v>790000</v>
      </c>
      <c r="D98" s="187">
        <f>D100</f>
        <v>723042.86</v>
      </c>
      <c r="E98" s="75">
        <f t="shared" si="1"/>
        <v>91.524412658227845</v>
      </c>
      <c r="F98" s="189">
        <f>F100+F99</f>
        <v>1014606.83</v>
      </c>
      <c r="G98" s="189">
        <f>G100+G99</f>
        <v>1001506.83</v>
      </c>
      <c r="H98" s="188">
        <f>G98/F98*100</f>
        <v>98.708859470224539</v>
      </c>
      <c r="I98" s="112">
        <f t="shared" si="12"/>
        <v>1804606.83</v>
      </c>
      <c r="J98" s="112">
        <f t="shared" si="13"/>
        <v>1724549.69</v>
      </c>
      <c r="K98" s="653">
        <f>J98/I98*100</f>
        <v>95.56373506577053</v>
      </c>
    </row>
    <row r="99" spans="1:11" ht="38.4" customHeight="1">
      <c r="A99" s="665" t="s">
        <v>526</v>
      </c>
      <c r="B99" s="63" t="s">
        <v>525</v>
      </c>
      <c r="C99" s="59">
        <v>0</v>
      </c>
      <c r="D99" s="59">
        <v>0</v>
      </c>
      <c r="E99" s="62">
        <v>0</v>
      </c>
      <c r="F99" s="60">
        <v>910000</v>
      </c>
      <c r="G99" s="60">
        <v>910000</v>
      </c>
      <c r="H99" s="62">
        <f>G99/F99*100</f>
        <v>100</v>
      </c>
      <c r="I99" s="65">
        <f t="shared" ref="I99" si="111">C99+F99</f>
        <v>910000</v>
      </c>
      <c r="J99" s="65">
        <f t="shared" ref="J99" si="112">D99+G99</f>
        <v>910000</v>
      </c>
      <c r="K99" s="649">
        <f>J99/I99*100</f>
        <v>100</v>
      </c>
    </row>
    <row r="100" spans="1:11" ht="35.549999999999997" customHeight="1">
      <c r="A100" s="648" t="s">
        <v>196</v>
      </c>
      <c r="B100" s="63" t="s">
        <v>197</v>
      </c>
      <c r="C100" s="59">
        <v>790000</v>
      </c>
      <c r="D100" s="59">
        <v>723042.86</v>
      </c>
      <c r="E100" s="62">
        <f t="shared" ref="E100:E101" si="113">D100/C100*100</f>
        <v>91.524412658227845</v>
      </c>
      <c r="F100" s="60">
        <f>130006.83-25400</f>
        <v>104606.83</v>
      </c>
      <c r="G100" s="60">
        <v>91506.83</v>
      </c>
      <c r="H100" s="62">
        <f>G100/F100*100</f>
        <v>87.476917138202154</v>
      </c>
      <c r="I100" s="65">
        <f t="shared" si="12"/>
        <v>894606.83</v>
      </c>
      <c r="J100" s="65">
        <f t="shared" si="13"/>
        <v>814549.69</v>
      </c>
      <c r="K100" s="649">
        <f>J100/I100*100</f>
        <v>91.051136955884843</v>
      </c>
    </row>
    <row r="101" spans="1:11" s="25" customFormat="1" ht="62.55" customHeight="1">
      <c r="A101" s="658" t="s">
        <v>491</v>
      </c>
      <c r="B101" s="181" t="s">
        <v>490</v>
      </c>
      <c r="C101" s="74">
        <v>790000</v>
      </c>
      <c r="D101" s="74">
        <v>790000</v>
      </c>
      <c r="E101" s="75">
        <f t="shared" si="113"/>
        <v>100</v>
      </c>
      <c r="F101" s="76">
        <v>0</v>
      </c>
      <c r="G101" s="76">
        <v>0</v>
      </c>
      <c r="H101" s="75">
        <v>0</v>
      </c>
      <c r="I101" s="77">
        <f t="shared" ref="I101" si="114">C101+F101</f>
        <v>790000</v>
      </c>
      <c r="J101" s="77">
        <f t="shared" ref="J101" si="115">D101+G101</f>
        <v>790000</v>
      </c>
      <c r="K101" s="655">
        <f t="shared" ref="K101" si="116">J101/I101*100</f>
        <v>100</v>
      </c>
    </row>
    <row r="102" spans="1:11" ht="23.55" customHeight="1">
      <c r="A102" s="658" t="s">
        <v>198</v>
      </c>
      <c r="B102" s="181" t="s">
        <v>199</v>
      </c>
      <c r="C102" s="74">
        <v>20701700</v>
      </c>
      <c r="D102" s="74">
        <v>20266509.84</v>
      </c>
      <c r="E102" s="75">
        <f t="shared" si="1"/>
        <v>97.897804721351392</v>
      </c>
      <c r="F102" s="76">
        <v>600000</v>
      </c>
      <c r="G102" s="76">
        <v>599685.63</v>
      </c>
      <c r="H102" s="75">
        <f>G102/F102*100</f>
        <v>99.94760500000001</v>
      </c>
      <c r="I102" s="77">
        <f t="shared" si="12"/>
        <v>21301700</v>
      </c>
      <c r="J102" s="77">
        <f t="shared" si="13"/>
        <v>20866195.469999999</v>
      </c>
      <c r="K102" s="655">
        <f t="shared" si="2"/>
        <v>97.95554096621396</v>
      </c>
    </row>
    <row r="103" spans="1:11" ht="36.6" customHeight="1">
      <c r="A103" s="658" t="s">
        <v>409</v>
      </c>
      <c r="B103" s="181" t="s">
        <v>404</v>
      </c>
      <c r="C103" s="74">
        <f>C104</f>
        <v>3040049</v>
      </c>
      <c r="D103" s="74">
        <f>D104</f>
        <v>3040017.75</v>
      </c>
      <c r="E103" s="75">
        <f t="shared" si="1"/>
        <v>99.998972056042518</v>
      </c>
      <c r="F103" s="76">
        <f>F104</f>
        <v>0</v>
      </c>
      <c r="G103" s="76">
        <f>G104</f>
        <v>0</v>
      </c>
      <c r="H103" s="75">
        <v>0</v>
      </c>
      <c r="I103" s="77">
        <f t="shared" ref="I103:I104" si="117">C103+F103</f>
        <v>3040049</v>
      </c>
      <c r="J103" s="77">
        <f t="shared" ref="J103:J104" si="118">D103+G103</f>
        <v>3040017.75</v>
      </c>
      <c r="K103" s="655">
        <f>J103/I103*100</f>
        <v>99.998972056042518</v>
      </c>
    </row>
    <row r="104" spans="1:11" ht="136.80000000000001" customHeight="1" thickBot="1">
      <c r="A104" s="648" t="s">
        <v>514</v>
      </c>
      <c r="B104" s="63" t="s">
        <v>405</v>
      </c>
      <c r="C104" s="59">
        <v>3040049</v>
      </c>
      <c r="D104" s="59">
        <v>3040017.75</v>
      </c>
      <c r="E104" s="62">
        <f t="shared" si="1"/>
        <v>99.998972056042518</v>
      </c>
      <c r="F104" s="60">
        <v>0</v>
      </c>
      <c r="G104" s="60">
        <v>0</v>
      </c>
      <c r="H104" s="62">
        <v>0</v>
      </c>
      <c r="I104" s="65">
        <f t="shared" si="117"/>
        <v>3040049</v>
      </c>
      <c r="J104" s="65">
        <f t="shared" si="118"/>
        <v>3040017.75</v>
      </c>
      <c r="K104" s="649">
        <f>J104/I104*100</f>
        <v>99.998972056042518</v>
      </c>
    </row>
    <row r="105" spans="1:11" ht="34.5" customHeight="1" thickBot="1">
      <c r="A105" s="658" t="s">
        <v>454</v>
      </c>
      <c r="B105" s="181" t="s">
        <v>453</v>
      </c>
      <c r="C105" s="74">
        <f>C106</f>
        <v>0</v>
      </c>
      <c r="D105" s="74">
        <f>D106</f>
        <v>0</v>
      </c>
      <c r="E105" s="194">
        <v>0</v>
      </c>
      <c r="F105" s="76">
        <f>F106</f>
        <v>877218</v>
      </c>
      <c r="G105" s="76">
        <f>G106</f>
        <v>820000</v>
      </c>
      <c r="H105" s="194">
        <f t="shared" ref="H105:H106" si="119">G105/F105*100</f>
        <v>93.477334026433567</v>
      </c>
      <c r="I105" s="77">
        <f t="shared" ref="I105:I106" si="120">C105+F105</f>
        <v>877218</v>
      </c>
      <c r="J105" s="77">
        <f t="shared" ref="J105:J106" si="121">D105+G105</f>
        <v>820000</v>
      </c>
      <c r="K105" s="655">
        <f>J105/I105*100</f>
        <v>93.477334026433567</v>
      </c>
    </row>
    <row r="106" spans="1:11" ht="91.05" customHeight="1" thickBot="1">
      <c r="A106" s="650" t="s">
        <v>455</v>
      </c>
      <c r="B106" s="108" t="s">
        <v>435</v>
      </c>
      <c r="C106" s="122">
        <v>0</v>
      </c>
      <c r="D106" s="122">
        <v>0</v>
      </c>
      <c r="E106" s="62">
        <v>0</v>
      </c>
      <c r="F106" s="124">
        <v>877218</v>
      </c>
      <c r="G106" s="124">
        <v>820000</v>
      </c>
      <c r="H106" s="62">
        <f t="shared" si="119"/>
        <v>93.477334026433567</v>
      </c>
      <c r="I106" s="125">
        <f t="shared" si="120"/>
        <v>877218</v>
      </c>
      <c r="J106" s="125">
        <f t="shared" si="121"/>
        <v>820000</v>
      </c>
      <c r="K106" s="651">
        <f>J106/I106*100</f>
        <v>93.477334026433567</v>
      </c>
    </row>
    <row r="107" spans="1:11" s="21" customFormat="1" ht="24.45" customHeight="1" thickBot="1">
      <c r="A107" s="242" t="s">
        <v>200</v>
      </c>
      <c r="B107" s="192" t="s">
        <v>201</v>
      </c>
      <c r="C107" s="193">
        <f>C108+C111+C113+C128+C134+C117+C121+C125+C132</f>
        <v>7630400</v>
      </c>
      <c r="D107" s="193">
        <f>D108+D111+D113+D128+D134+D117+D121+D125+D132</f>
        <v>6458851.3700000001</v>
      </c>
      <c r="E107" s="194">
        <f t="shared" si="1"/>
        <v>84.64630124239882</v>
      </c>
      <c r="F107" s="120">
        <f>F108+F113+F128+F134+F132+F111</f>
        <v>3178781</v>
      </c>
      <c r="G107" s="120">
        <f>G108+G113+G128+G134+G132+G111</f>
        <v>1774770.56</v>
      </c>
      <c r="H107" s="194">
        <f t="shared" si="11"/>
        <v>55.831797157463825</v>
      </c>
      <c r="I107" s="195">
        <f t="shared" si="12"/>
        <v>10809181</v>
      </c>
      <c r="J107" s="195">
        <f t="shared" si="13"/>
        <v>8233621.9299999997</v>
      </c>
      <c r="K107" s="196">
        <f t="shared" si="2"/>
        <v>76.17248642612239</v>
      </c>
    </row>
    <row r="108" spans="1:11" ht="32.549999999999997" customHeight="1">
      <c r="A108" s="652" t="s">
        <v>202</v>
      </c>
      <c r="B108" s="214" t="s">
        <v>203</v>
      </c>
      <c r="C108" s="187">
        <f>C109+C110</f>
        <v>250000</v>
      </c>
      <c r="D108" s="187">
        <f>D109+D110</f>
        <v>118340</v>
      </c>
      <c r="E108" s="188">
        <f t="shared" si="1"/>
        <v>47.335999999999999</v>
      </c>
      <c r="F108" s="189">
        <f>F109+F110</f>
        <v>0</v>
      </c>
      <c r="G108" s="189">
        <f>G109+G110</f>
        <v>0</v>
      </c>
      <c r="H108" s="75">
        <v>0</v>
      </c>
      <c r="I108" s="112">
        <f t="shared" si="12"/>
        <v>250000</v>
      </c>
      <c r="J108" s="112">
        <f t="shared" si="13"/>
        <v>118340</v>
      </c>
      <c r="K108" s="653">
        <f t="shared" si="2"/>
        <v>47.335999999999999</v>
      </c>
    </row>
    <row r="109" spans="1:11" ht="21.75" hidden="1" customHeight="1">
      <c r="A109" s="648" t="s">
        <v>464</v>
      </c>
      <c r="B109" s="63" t="s">
        <v>467</v>
      </c>
      <c r="C109" s="59">
        <v>0</v>
      </c>
      <c r="D109" s="59">
        <v>0</v>
      </c>
      <c r="E109" s="62" t="e">
        <f t="shared" ref="E109" si="122">D109/C109*100</f>
        <v>#DIV/0!</v>
      </c>
      <c r="F109" s="60">
        <v>0</v>
      </c>
      <c r="G109" s="60">
        <v>0</v>
      </c>
      <c r="H109" s="62">
        <v>0</v>
      </c>
      <c r="I109" s="65">
        <f t="shared" ref="I109" si="123">C109+F109</f>
        <v>0</v>
      </c>
      <c r="J109" s="65">
        <f t="shared" ref="J109" si="124">D109+G109</f>
        <v>0</v>
      </c>
      <c r="K109" s="649" t="e">
        <f t="shared" ref="K109" si="125">J109/I109*100</f>
        <v>#DIV/0!</v>
      </c>
    </row>
    <row r="110" spans="1:11" ht="18">
      <c r="A110" s="648" t="s">
        <v>204</v>
      </c>
      <c r="B110" s="63" t="s">
        <v>205</v>
      </c>
      <c r="C110" s="59">
        <v>250000</v>
      </c>
      <c r="D110" s="59">
        <v>118340</v>
      </c>
      <c r="E110" s="62">
        <f t="shared" si="1"/>
        <v>47.335999999999999</v>
      </c>
      <c r="F110" s="60">
        <v>0</v>
      </c>
      <c r="G110" s="60">
        <v>0</v>
      </c>
      <c r="H110" s="62">
        <v>0</v>
      </c>
      <c r="I110" s="65">
        <f t="shared" si="12"/>
        <v>250000</v>
      </c>
      <c r="J110" s="65">
        <f t="shared" si="13"/>
        <v>118340</v>
      </c>
      <c r="K110" s="649">
        <f t="shared" si="2"/>
        <v>47.335999999999999</v>
      </c>
    </row>
    <row r="111" spans="1:11" s="25" customFormat="1" ht="18" hidden="1">
      <c r="A111" s="661" t="s">
        <v>308</v>
      </c>
      <c r="B111" s="181" t="s">
        <v>297</v>
      </c>
      <c r="C111" s="215">
        <f>C112</f>
        <v>0</v>
      </c>
      <c r="D111" s="215">
        <f>D112</f>
        <v>0</v>
      </c>
      <c r="E111" s="188" t="e">
        <f t="shared" si="1"/>
        <v>#DIV/0!</v>
      </c>
      <c r="F111" s="216">
        <f>F112</f>
        <v>0</v>
      </c>
      <c r="G111" s="216">
        <f>G112</f>
        <v>0</v>
      </c>
      <c r="H111" s="75">
        <v>0</v>
      </c>
      <c r="I111" s="77">
        <f t="shared" si="12"/>
        <v>0</v>
      </c>
      <c r="J111" s="77">
        <f t="shared" si="13"/>
        <v>0</v>
      </c>
      <c r="K111" s="655">
        <v>0</v>
      </c>
    </row>
    <row r="112" spans="1:11" ht="18" hidden="1">
      <c r="A112" s="663" t="s">
        <v>309</v>
      </c>
      <c r="B112" s="63" t="s">
        <v>298</v>
      </c>
      <c r="C112" s="59">
        <v>0</v>
      </c>
      <c r="D112" s="59">
        <v>0</v>
      </c>
      <c r="E112" s="62" t="e">
        <f t="shared" si="1"/>
        <v>#DIV/0!</v>
      </c>
      <c r="F112" s="60">
        <v>0</v>
      </c>
      <c r="G112" s="60">
        <v>0</v>
      </c>
      <c r="H112" s="62" t="e">
        <f t="shared" si="11"/>
        <v>#DIV/0!</v>
      </c>
      <c r="I112" s="65">
        <f t="shared" si="12"/>
        <v>0</v>
      </c>
      <c r="J112" s="65">
        <f t="shared" si="13"/>
        <v>0</v>
      </c>
      <c r="K112" s="649">
        <v>0</v>
      </c>
    </row>
    <row r="113" spans="1:12" s="126" customFormat="1" ht="21.6" customHeight="1">
      <c r="A113" s="666" t="s">
        <v>206</v>
      </c>
      <c r="B113" s="70" t="s">
        <v>207</v>
      </c>
      <c r="C113" s="67">
        <f>C114+C115</f>
        <v>0</v>
      </c>
      <c r="D113" s="67">
        <f>D114+D115</f>
        <v>0</v>
      </c>
      <c r="E113" s="68">
        <v>0</v>
      </c>
      <c r="F113" s="72">
        <f>F114+F115+F120+F121+F122+F125</f>
        <v>1478381</v>
      </c>
      <c r="G113" s="72">
        <f>G114+G115+G120+G121+G122+G125</f>
        <v>134266.62</v>
      </c>
      <c r="H113" s="75">
        <f t="shared" si="11"/>
        <v>9.0820038948011366</v>
      </c>
      <c r="I113" s="69">
        <f t="shared" si="12"/>
        <v>1478381</v>
      </c>
      <c r="J113" s="69">
        <f t="shared" si="13"/>
        <v>134266.62</v>
      </c>
      <c r="K113" s="667">
        <f t="shared" si="2"/>
        <v>9.0820038948011366</v>
      </c>
    </row>
    <row r="114" spans="1:12" ht="32.4" hidden="1">
      <c r="A114" s="658" t="s">
        <v>208</v>
      </c>
      <c r="B114" s="181" t="s">
        <v>209</v>
      </c>
      <c r="C114" s="74">
        <v>0</v>
      </c>
      <c r="D114" s="74">
        <v>0</v>
      </c>
      <c r="E114" s="75">
        <v>0</v>
      </c>
      <c r="F114" s="76">
        <v>0</v>
      </c>
      <c r="G114" s="76">
        <v>0</v>
      </c>
      <c r="H114" s="75" t="e">
        <f t="shared" si="11"/>
        <v>#DIV/0!</v>
      </c>
      <c r="I114" s="77">
        <f t="shared" si="12"/>
        <v>0</v>
      </c>
      <c r="J114" s="77">
        <f t="shared" si="13"/>
        <v>0</v>
      </c>
      <c r="K114" s="655" t="e">
        <f t="shared" si="2"/>
        <v>#DIV/0!</v>
      </c>
    </row>
    <row r="115" spans="1:12" ht="32.4">
      <c r="A115" s="658" t="s">
        <v>210</v>
      </c>
      <c r="B115" s="181" t="s">
        <v>211</v>
      </c>
      <c r="C115" s="74">
        <f>C116</f>
        <v>0</v>
      </c>
      <c r="D115" s="74">
        <f>D116</f>
        <v>0</v>
      </c>
      <c r="E115" s="75">
        <v>0</v>
      </c>
      <c r="F115" s="76">
        <f>F116+F118+F119+F117</f>
        <v>1308381</v>
      </c>
      <c r="G115" s="76">
        <f>G116+G118+G119+G117</f>
        <v>26196.62</v>
      </c>
      <c r="H115" s="75">
        <f t="shared" si="11"/>
        <v>2.0022164797562789</v>
      </c>
      <c r="I115" s="77">
        <f t="shared" si="12"/>
        <v>1308381</v>
      </c>
      <c r="J115" s="77">
        <f t="shared" si="13"/>
        <v>26196.62</v>
      </c>
      <c r="K115" s="655">
        <f t="shared" si="2"/>
        <v>2.0022164797562789</v>
      </c>
      <c r="L115" s="137"/>
    </row>
    <row r="116" spans="1:12" ht="22.8" customHeight="1">
      <c r="A116" s="663" t="s">
        <v>310</v>
      </c>
      <c r="B116" s="63" t="s">
        <v>299</v>
      </c>
      <c r="C116" s="59">
        <v>0</v>
      </c>
      <c r="D116" s="59">
        <v>0</v>
      </c>
      <c r="E116" s="62">
        <v>0</v>
      </c>
      <c r="F116" s="60">
        <v>1308381</v>
      </c>
      <c r="G116" s="60">
        <v>26196.62</v>
      </c>
      <c r="H116" s="62">
        <f t="shared" si="11"/>
        <v>2.0022164797562789</v>
      </c>
      <c r="I116" s="65">
        <f t="shared" si="12"/>
        <v>1308381</v>
      </c>
      <c r="J116" s="65">
        <f t="shared" si="13"/>
        <v>26196.62</v>
      </c>
      <c r="K116" s="649">
        <f t="shared" si="2"/>
        <v>2.0022164797562789</v>
      </c>
      <c r="L116" s="137"/>
    </row>
    <row r="117" spans="1:12" ht="26.4" hidden="1" customHeight="1">
      <c r="A117" s="663" t="s">
        <v>410</v>
      </c>
      <c r="B117" s="63" t="s">
        <v>406</v>
      </c>
      <c r="C117" s="59">
        <v>0</v>
      </c>
      <c r="D117" s="59">
        <v>0</v>
      </c>
      <c r="E117" s="62">
        <v>0</v>
      </c>
      <c r="F117" s="60">
        <v>0</v>
      </c>
      <c r="G117" s="60">
        <v>0</v>
      </c>
      <c r="H117" s="62" t="e">
        <f t="shared" si="11"/>
        <v>#DIV/0!</v>
      </c>
      <c r="I117" s="65">
        <f t="shared" si="12"/>
        <v>0</v>
      </c>
      <c r="J117" s="65">
        <f t="shared" si="13"/>
        <v>0</v>
      </c>
      <c r="K117" s="649" t="e">
        <f t="shared" si="2"/>
        <v>#DIV/0!</v>
      </c>
      <c r="L117" s="137"/>
    </row>
    <row r="118" spans="1:12" ht="24.6" hidden="1" customHeight="1">
      <c r="A118" s="663" t="s">
        <v>390</v>
      </c>
      <c r="B118" s="63" t="s">
        <v>389</v>
      </c>
      <c r="C118" s="59">
        <v>0</v>
      </c>
      <c r="D118" s="59">
        <v>0</v>
      </c>
      <c r="E118" s="62">
        <v>0</v>
      </c>
      <c r="F118" s="60">
        <v>0</v>
      </c>
      <c r="G118" s="60">
        <v>0</v>
      </c>
      <c r="H118" s="62" t="e">
        <f t="shared" ref="H118" si="126">G118/F118*100</f>
        <v>#DIV/0!</v>
      </c>
      <c r="I118" s="65">
        <f t="shared" ref="I118" si="127">C118+F118</f>
        <v>0</v>
      </c>
      <c r="J118" s="65">
        <f t="shared" ref="J118" si="128">D118+G118</f>
        <v>0</v>
      </c>
      <c r="K118" s="649" t="e">
        <f t="shared" ref="K118" si="129">J118/I118*100</f>
        <v>#DIV/0!</v>
      </c>
      <c r="L118" s="137"/>
    </row>
    <row r="119" spans="1:12" ht="36.6" hidden="1" customHeight="1">
      <c r="A119" s="663" t="s">
        <v>392</v>
      </c>
      <c r="B119" s="63" t="s">
        <v>391</v>
      </c>
      <c r="C119" s="59">
        <v>0</v>
      </c>
      <c r="D119" s="59">
        <v>0</v>
      </c>
      <c r="E119" s="62">
        <v>0</v>
      </c>
      <c r="F119" s="60">
        <v>0</v>
      </c>
      <c r="G119" s="60">
        <v>0</v>
      </c>
      <c r="H119" s="62" t="e">
        <f t="shared" ref="H119" si="130">G119/F119*100</f>
        <v>#DIV/0!</v>
      </c>
      <c r="I119" s="65">
        <f t="shared" ref="I119" si="131">C119+F119</f>
        <v>0</v>
      </c>
      <c r="J119" s="65">
        <f t="shared" ref="J119" si="132">D119+G119</f>
        <v>0</v>
      </c>
      <c r="K119" s="649" t="e">
        <f t="shared" ref="K119" si="133">J119/I119*100</f>
        <v>#DIV/0!</v>
      </c>
      <c r="L119" s="137"/>
    </row>
    <row r="120" spans="1:12" s="25" customFormat="1" ht="40.200000000000003" hidden="1" customHeight="1">
      <c r="A120" s="661" t="s">
        <v>394</v>
      </c>
      <c r="B120" s="73" t="s">
        <v>393</v>
      </c>
      <c r="C120" s="215">
        <v>0</v>
      </c>
      <c r="D120" s="215">
        <v>0</v>
      </c>
      <c r="E120" s="75">
        <v>0</v>
      </c>
      <c r="F120" s="216">
        <v>0</v>
      </c>
      <c r="G120" s="216">
        <v>0</v>
      </c>
      <c r="H120" s="75" t="e">
        <f t="shared" ref="H120:H121" si="134">G120/F120*100</f>
        <v>#DIV/0!</v>
      </c>
      <c r="I120" s="77">
        <f t="shared" ref="I120:I121" si="135">C120+F120</f>
        <v>0</v>
      </c>
      <c r="J120" s="77">
        <f t="shared" ref="J120:J121" si="136">D120+G120</f>
        <v>0</v>
      </c>
      <c r="K120" s="655" t="e">
        <f t="shared" ref="K120:K121" si="137">J120/I120*100</f>
        <v>#DIV/0!</v>
      </c>
      <c r="L120" s="243"/>
    </row>
    <row r="121" spans="1:12" s="25" customFormat="1" ht="33" hidden="1" customHeight="1">
      <c r="A121" s="661" t="s">
        <v>411</v>
      </c>
      <c r="B121" s="73" t="s">
        <v>407</v>
      </c>
      <c r="C121" s="215">
        <v>0</v>
      </c>
      <c r="D121" s="215">
        <v>0</v>
      </c>
      <c r="E121" s="75">
        <v>0</v>
      </c>
      <c r="F121" s="216">
        <v>0</v>
      </c>
      <c r="G121" s="216">
        <v>0</v>
      </c>
      <c r="H121" s="75" t="e">
        <f t="shared" si="134"/>
        <v>#DIV/0!</v>
      </c>
      <c r="I121" s="77">
        <f t="shared" si="135"/>
        <v>0</v>
      </c>
      <c r="J121" s="77">
        <f t="shared" si="136"/>
        <v>0</v>
      </c>
      <c r="K121" s="655" t="e">
        <f t="shared" si="137"/>
        <v>#DIV/0!</v>
      </c>
    </row>
    <row r="122" spans="1:12" s="25" customFormat="1" ht="37.950000000000003" customHeight="1">
      <c r="A122" s="668" t="s">
        <v>212</v>
      </c>
      <c r="B122" s="73" t="s">
        <v>213</v>
      </c>
      <c r="C122" s="215">
        <v>0</v>
      </c>
      <c r="D122" s="215">
        <v>0</v>
      </c>
      <c r="E122" s="75">
        <v>0</v>
      </c>
      <c r="F122" s="216">
        <v>170000</v>
      </c>
      <c r="G122" s="216">
        <v>108070</v>
      </c>
      <c r="H122" s="75">
        <f t="shared" si="11"/>
        <v>63.570588235294125</v>
      </c>
      <c r="I122" s="77">
        <f t="shared" si="12"/>
        <v>170000</v>
      </c>
      <c r="J122" s="77">
        <f t="shared" si="13"/>
        <v>108070</v>
      </c>
      <c r="K122" s="655">
        <f t="shared" si="2"/>
        <v>63.570588235294125</v>
      </c>
    </row>
    <row r="123" spans="1:12" ht="18" hidden="1">
      <c r="A123" s="648" t="s">
        <v>214</v>
      </c>
      <c r="B123" s="63" t="s">
        <v>215</v>
      </c>
      <c r="C123" s="59">
        <v>0</v>
      </c>
      <c r="D123" s="59">
        <v>0</v>
      </c>
      <c r="E123" s="62">
        <v>0</v>
      </c>
      <c r="F123" s="60">
        <v>0</v>
      </c>
      <c r="G123" s="60">
        <f>G124</f>
        <v>0</v>
      </c>
      <c r="H123" s="62">
        <v>0</v>
      </c>
      <c r="I123" s="65">
        <f t="shared" si="12"/>
        <v>0</v>
      </c>
      <c r="J123" s="65">
        <f t="shared" si="13"/>
        <v>0</v>
      </c>
      <c r="K123" s="649" t="e">
        <f t="shared" si="2"/>
        <v>#DIV/0!</v>
      </c>
    </row>
    <row r="124" spans="1:12" ht="31.2" hidden="1">
      <c r="A124" s="648" t="s">
        <v>284</v>
      </c>
      <c r="B124" s="63" t="s">
        <v>283</v>
      </c>
      <c r="C124" s="59">
        <v>0</v>
      </c>
      <c r="D124" s="59">
        <v>0</v>
      </c>
      <c r="E124" s="62">
        <v>0</v>
      </c>
      <c r="F124" s="60">
        <v>0</v>
      </c>
      <c r="G124" s="60">
        <v>0</v>
      </c>
      <c r="H124" s="62">
        <v>0</v>
      </c>
      <c r="I124" s="65">
        <f t="shared" ref="I124:I126" si="138">C124+F124</f>
        <v>0</v>
      </c>
      <c r="J124" s="65">
        <f t="shared" ref="J124:J126" si="139">D124+G124</f>
        <v>0</v>
      </c>
      <c r="K124" s="649" t="e">
        <f t="shared" ref="K124:K126" si="140">J124/I124*100</f>
        <v>#DIV/0!</v>
      </c>
    </row>
    <row r="125" spans="1:12" s="25" customFormat="1" ht="18" hidden="1">
      <c r="A125" s="668" t="s">
        <v>214</v>
      </c>
      <c r="B125" s="73" t="s">
        <v>215</v>
      </c>
      <c r="C125" s="215">
        <v>0</v>
      </c>
      <c r="D125" s="215">
        <v>0</v>
      </c>
      <c r="E125" s="75">
        <v>0</v>
      </c>
      <c r="F125" s="216">
        <f>F127+F126</f>
        <v>0</v>
      </c>
      <c r="G125" s="216">
        <f>G127+G126</f>
        <v>0</v>
      </c>
      <c r="H125" s="75" t="e">
        <f t="shared" ref="H125:H126" si="141">G125/F125*100</f>
        <v>#DIV/0!</v>
      </c>
      <c r="I125" s="77">
        <f t="shared" si="138"/>
        <v>0</v>
      </c>
      <c r="J125" s="77">
        <f t="shared" si="139"/>
        <v>0</v>
      </c>
      <c r="K125" s="655" t="e">
        <f t="shared" si="140"/>
        <v>#DIV/0!</v>
      </c>
    </row>
    <row r="126" spans="1:12" ht="48.6" hidden="1" customHeight="1">
      <c r="A126" s="648" t="s">
        <v>437</v>
      </c>
      <c r="B126" s="63" t="s">
        <v>436</v>
      </c>
      <c r="C126" s="59">
        <v>0</v>
      </c>
      <c r="D126" s="59">
        <v>0</v>
      </c>
      <c r="E126" s="62">
        <v>0</v>
      </c>
      <c r="F126" s="60">
        <v>0</v>
      </c>
      <c r="G126" s="60">
        <v>0</v>
      </c>
      <c r="H126" s="62" t="e">
        <f t="shared" si="141"/>
        <v>#DIV/0!</v>
      </c>
      <c r="I126" s="65">
        <f t="shared" si="138"/>
        <v>0</v>
      </c>
      <c r="J126" s="65">
        <f t="shared" si="139"/>
        <v>0</v>
      </c>
      <c r="K126" s="649" t="e">
        <f t="shared" si="140"/>
        <v>#DIV/0!</v>
      </c>
    </row>
    <row r="127" spans="1:12" ht="43.05" hidden="1" customHeight="1">
      <c r="A127" s="648" t="s">
        <v>284</v>
      </c>
      <c r="B127" s="63" t="s">
        <v>283</v>
      </c>
      <c r="C127" s="59">
        <v>0</v>
      </c>
      <c r="D127" s="59">
        <v>0</v>
      </c>
      <c r="E127" s="62">
        <v>0</v>
      </c>
      <c r="F127" s="60">
        <v>0</v>
      </c>
      <c r="G127" s="60">
        <v>0</v>
      </c>
      <c r="H127" s="62" t="e">
        <f t="shared" ref="H127" si="142">G127/F127*100</f>
        <v>#DIV/0!</v>
      </c>
      <c r="I127" s="65">
        <f t="shared" ref="I127" si="143">C127+F127</f>
        <v>0</v>
      </c>
      <c r="J127" s="65">
        <f t="shared" ref="J127" si="144">D127+G127</f>
        <v>0</v>
      </c>
      <c r="K127" s="649" t="e">
        <f t="shared" ref="K127" si="145">J127/I127*100</f>
        <v>#DIV/0!</v>
      </c>
    </row>
    <row r="128" spans="1:12" s="21" customFormat="1" ht="31.2">
      <c r="A128" s="666" t="s">
        <v>216</v>
      </c>
      <c r="B128" s="70" t="s">
        <v>217</v>
      </c>
      <c r="C128" s="67">
        <f>C129</f>
        <v>6693100</v>
      </c>
      <c r="D128" s="67">
        <f>D129</f>
        <v>6009907.3700000001</v>
      </c>
      <c r="E128" s="68">
        <f t="shared" si="1"/>
        <v>89.792582958569284</v>
      </c>
      <c r="F128" s="72">
        <f>F129</f>
        <v>0</v>
      </c>
      <c r="G128" s="72">
        <f>G129</f>
        <v>0</v>
      </c>
      <c r="H128" s="68">
        <v>0</v>
      </c>
      <c r="I128" s="69">
        <f t="shared" si="12"/>
        <v>6693100</v>
      </c>
      <c r="J128" s="69">
        <f t="shared" si="13"/>
        <v>6009907.3700000001</v>
      </c>
      <c r="K128" s="667">
        <f t="shared" si="2"/>
        <v>89.792582958569284</v>
      </c>
    </row>
    <row r="129" spans="1:11" ht="36" customHeight="1">
      <c r="A129" s="658" t="s">
        <v>218</v>
      </c>
      <c r="B129" s="181" t="s">
        <v>219</v>
      </c>
      <c r="C129" s="74">
        <f>C130+C131</f>
        <v>6693100</v>
      </c>
      <c r="D129" s="74">
        <f>D130+D131</f>
        <v>6009907.3700000001</v>
      </c>
      <c r="E129" s="75">
        <f t="shared" si="1"/>
        <v>89.792582958569284</v>
      </c>
      <c r="F129" s="76">
        <f>F130+F131</f>
        <v>0</v>
      </c>
      <c r="G129" s="76">
        <f>G130+G131</f>
        <v>0</v>
      </c>
      <c r="H129" s="75">
        <v>0</v>
      </c>
      <c r="I129" s="77">
        <f t="shared" si="12"/>
        <v>6693100</v>
      </c>
      <c r="J129" s="77">
        <f t="shared" si="13"/>
        <v>6009907.3700000001</v>
      </c>
      <c r="K129" s="655">
        <f t="shared" si="2"/>
        <v>89.792582958569284</v>
      </c>
    </row>
    <row r="130" spans="1:11" ht="46.2" customHeight="1">
      <c r="A130" s="648" t="s">
        <v>220</v>
      </c>
      <c r="B130" s="63" t="s">
        <v>221</v>
      </c>
      <c r="C130" s="59">
        <v>6693100</v>
      </c>
      <c r="D130" s="59">
        <v>6009907.3700000001</v>
      </c>
      <c r="E130" s="62">
        <f t="shared" si="1"/>
        <v>89.792582958569284</v>
      </c>
      <c r="F130" s="60">
        <v>0</v>
      </c>
      <c r="G130" s="60">
        <v>0</v>
      </c>
      <c r="H130" s="62">
        <v>0</v>
      </c>
      <c r="I130" s="65">
        <f t="shared" si="12"/>
        <v>6693100</v>
      </c>
      <c r="J130" s="65">
        <f t="shared" si="13"/>
        <v>6009907.3700000001</v>
      </c>
      <c r="K130" s="649">
        <f t="shared" si="2"/>
        <v>89.792582958569284</v>
      </c>
    </row>
    <row r="131" spans="1:11" ht="5.4" hidden="1" customHeight="1">
      <c r="A131" s="648" t="s">
        <v>457</v>
      </c>
      <c r="B131" s="63" t="s">
        <v>456</v>
      </c>
      <c r="C131" s="59">
        <v>0</v>
      </c>
      <c r="D131" s="59">
        <v>0</v>
      </c>
      <c r="E131" s="65">
        <v>0</v>
      </c>
      <c r="F131" s="60">
        <v>0</v>
      </c>
      <c r="G131" s="60">
        <v>0</v>
      </c>
      <c r="H131" s="62" t="e">
        <f t="shared" ref="H131" si="146">G131/F131*100</f>
        <v>#DIV/0!</v>
      </c>
      <c r="I131" s="65">
        <f t="shared" ref="I131:I133" si="147">C131+F131</f>
        <v>0</v>
      </c>
      <c r="J131" s="65">
        <f t="shared" ref="J131:J133" si="148">D131+G131</f>
        <v>0</v>
      </c>
      <c r="K131" s="649" t="e">
        <f t="shared" ref="K131:K133" si="149">J131/I131*100</f>
        <v>#DIV/0!</v>
      </c>
    </row>
    <row r="132" spans="1:11" ht="28.5" customHeight="1">
      <c r="A132" s="658" t="s">
        <v>504</v>
      </c>
      <c r="B132" s="181" t="s">
        <v>502</v>
      </c>
      <c r="C132" s="74">
        <f>C133</f>
        <v>130500</v>
      </c>
      <c r="D132" s="74">
        <f>D133</f>
        <v>130490</v>
      </c>
      <c r="E132" s="75">
        <f t="shared" ref="E132:E133" si="150">D132/C132*100</f>
        <v>99.99233716475095</v>
      </c>
      <c r="F132" s="76">
        <f>F133</f>
        <v>0</v>
      </c>
      <c r="G132" s="76">
        <f>G133</f>
        <v>0</v>
      </c>
      <c r="H132" s="75">
        <v>0</v>
      </c>
      <c r="I132" s="77">
        <f t="shared" si="147"/>
        <v>130500</v>
      </c>
      <c r="J132" s="77">
        <f t="shared" si="148"/>
        <v>130490</v>
      </c>
      <c r="K132" s="655">
        <f t="shared" si="149"/>
        <v>99.99233716475095</v>
      </c>
    </row>
    <row r="133" spans="1:11" ht="34.049999999999997" customHeight="1">
      <c r="A133" s="648" t="s">
        <v>505</v>
      </c>
      <c r="B133" s="63" t="s">
        <v>503</v>
      </c>
      <c r="C133" s="59">
        <v>130500</v>
      </c>
      <c r="D133" s="59">
        <v>130490</v>
      </c>
      <c r="E133" s="62">
        <f t="shared" si="150"/>
        <v>99.99233716475095</v>
      </c>
      <c r="F133" s="60">
        <v>0</v>
      </c>
      <c r="G133" s="60">
        <v>0</v>
      </c>
      <c r="H133" s="62">
        <v>0</v>
      </c>
      <c r="I133" s="65">
        <f t="shared" si="147"/>
        <v>130500</v>
      </c>
      <c r="J133" s="65">
        <f t="shared" si="148"/>
        <v>130490</v>
      </c>
      <c r="K133" s="649">
        <f t="shared" si="149"/>
        <v>99.99233716475095</v>
      </c>
    </row>
    <row r="134" spans="1:11" ht="36.6" customHeight="1">
      <c r="A134" s="666" t="s">
        <v>222</v>
      </c>
      <c r="B134" s="70" t="s">
        <v>223</v>
      </c>
      <c r="C134" s="67">
        <f>C136+C138+C139</f>
        <v>556800</v>
      </c>
      <c r="D134" s="67">
        <f>D136+D138+D139</f>
        <v>200114</v>
      </c>
      <c r="E134" s="68">
        <f t="shared" si="1"/>
        <v>35.94001436781609</v>
      </c>
      <c r="F134" s="72">
        <f>F136+F138+F139+F137</f>
        <v>1700400</v>
      </c>
      <c r="G134" s="72">
        <f>G136+G138+G139+G137</f>
        <v>1640503.94</v>
      </c>
      <c r="H134" s="68">
        <f t="shared" si="11"/>
        <v>96.477531169136668</v>
      </c>
      <c r="I134" s="69">
        <f t="shared" si="12"/>
        <v>2257200</v>
      </c>
      <c r="J134" s="69">
        <f t="shared" si="13"/>
        <v>1840617.94</v>
      </c>
      <c r="K134" s="667">
        <f t="shared" si="2"/>
        <v>81.544300017721071</v>
      </c>
    </row>
    <row r="135" spans="1:11" ht="31.2" hidden="1">
      <c r="A135" s="648" t="s">
        <v>224</v>
      </c>
      <c r="B135" s="63" t="s">
        <v>225</v>
      </c>
      <c r="C135" s="59">
        <v>0</v>
      </c>
      <c r="D135" s="59">
        <v>0</v>
      </c>
      <c r="E135" s="62">
        <v>0</v>
      </c>
      <c r="F135" s="60">
        <v>0</v>
      </c>
      <c r="G135" s="60">
        <v>0</v>
      </c>
      <c r="H135" s="62">
        <v>0</v>
      </c>
      <c r="I135" s="65">
        <f t="shared" si="12"/>
        <v>0</v>
      </c>
      <c r="J135" s="65">
        <f t="shared" si="13"/>
        <v>0</v>
      </c>
      <c r="K135" s="649">
        <v>0</v>
      </c>
    </row>
    <row r="136" spans="1:11" ht="79.05" customHeight="1">
      <c r="A136" s="658" t="s">
        <v>415</v>
      </c>
      <c r="B136" s="181" t="s">
        <v>395</v>
      </c>
      <c r="C136" s="74">
        <v>0</v>
      </c>
      <c r="D136" s="74">
        <v>0</v>
      </c>
      <c r="E136" s="75">
        <v>0</v>
      </c>
      <c r="F136" s="76">
        <v>300000</v>
      </c>
      <c r="G136" s="76">
        <v>240103.94</v>
      </c>
      <c r="H136" s="75">
        <f t="shared" si="11"/>
        <v>80.03464666666666</v>
      </c>
      <c r="I136" s="77">
        <f t="shared" ref="I136" si="151">C136+F136</f>
        <v>300000</v>
      </c>
      <c r="J136" s="77">
        <f t="shared" ref="J136" si="152">D136+G136</f>
        <v>240103.94</v>
      </c>
      <c r="K136" s="655">
        <f t="shared" ref="K136" si="153">J136/I136*100</f>
        <v>80.03464666666666</v>
      </c>
    </row>
    <row r="137" spans="1:11" ht="39.450000000000003" customHeight="1">
      <c r="A137" s="658" t="s">
        <v>458</v>
      </c>
      <c r="B137" s="181" t="s">
        <v>225</v>
      </c>
      <c r="C137" s="74">
        <v>0</v>
      </c>
      <c r="D137" s="74">
        <v>0</v>
      </c>
      <c r="E137" s="75">
        <v>0</v>
      </c>
      <c r="F137" s="76">
        <v>1400400</v>
      </c>
      <c r="G137" s="76">
        <v>1400400</v>
      </c>
      <c r="H137" s="75">
        <f t="shared" ref="H137" si="154">G137/F137*100</f>
        <v>100</v>
      </c>
      <c r="I137" s="77">
        <f t="shared" ref="I137" si="155">C137+F137</f>
        <v>1400400</v>
      </c>
      <c r="J137" s="77">
        <f t="shared" ref="J137" si="156">D137+G137</f>
        <v>1400400</v>
      </c>
      <c r="K137" s="655">
        <f t="shared" ref="K137" si="157">J137/I137*100</f>
        <v>100</v>
      </c>
    </row>
    <row r="138" spans="1:11" ht="39.450000000000003" customHeight="1">
      <c r="A138" s="658" t="s">
        <v>226</v>
      </c>
      <c r="B138" s="181" t="s">
        <v>227</v>
      </c>
      <c r="C138" s="74">
        <v>206800</v>
      </c>
      <c r="D138" s="74">
        <v>150364</v>
      </c>
      <c r="E138" s="75">
        <f t="shared" si="1"/>
        <v>72.70986460348162</v>
      </c>
      <c r="F138" s="76">
        <v>0</v>
      </c>
      <c r="G138" s="76">
        <v>0</v>
      </c>
      <c r="H138" s="75">
        <v>0</v>
      </c>
      <c r="I138" s="77">
        <f t="shared" si="12"/>
        <v>206800</v>
      </c>
      <c r="J138" s="77">
        <f t="shared" si="13"/>
        <v>150364</v>
      </c>
      <c r="K138" s="655">
        <f t="shared" si="2"/>
        <v>72.70986460348162</v>
      </c>
    </row>
    <row r="139" spans="1:11" ht="18">
      <c r="A139" s="658" t="s">
        <v>228</v>
      </c>
      <c r="B139" s="181" t="s">
        <v>229</v>
      </c>
      <c r="C139" s="74">
        <f>C140</f>
        <v>350000</v>
      </c>
      <c r="D139" s="74">
        <f>D140</f>
        <v>49750</v>
      </c>
      <c r="E139" s="75">
        <f t="shared" si="1"/>
        <v>14.214285714285715</v>
      </c>
      <c r="F139" s="76">
        <f>F140</f>
        <v>0</v>
      </c>
      <c r="G139" s="76">
        <f>G140</f>
        <v>0</v>
      </c>
      <c r="H139" s="75">
        <v>0</v>
      </c>
      <c r="I139" s="77">
        <f t="shared" si="12"/>
        <v>350000</v>
      </c>
      <c r="J139" s="77">
        <f t="shared" si="13"/>
        <v>49750</v>
      </c>
      <c r="K139" s="655">
        <f t="shared" si="2"/>
        <v>14.214285714285715</v>
      </c>
    </row>
    <row r="140" spans="1:11" ht="24" customHeight="1" thickBot="1">
      <c r="A140" s="650" t="s">
        <v>230</v>
      </c>
      <c r="B140" s="108" t="s">
        <v>231</v>
      </c>
      <c r="C140" s="122">
        <v>350000</v>
      </c>
      <c r="D140" s="122">
        <v>49750</v>
      </c>
      <c r="E140" s="123">
        <f t="shared" si="1"/>
        <v>14.214285714285715</v>
      </c>
      <c r="F140" s="124">
        <v>0</v>
      </c>
      <c r="G140" s="124">
        <v>0</v>
      </c>
      <c r="H140" s="115">
        <v>0</v>
      </c>
      <c r="I140" s="125">
        <f t="shared" si="12"/>
        <v>350000</v>
      </c>
      <c r="J140" s="125">
        <f t="shared" si="13"/>
        <v>49750</v>
      </c>
      <c r="K140" s="651">
        <f t="shared" si="2"/>
        <v>14.214285714285715</v>
      </c>
    </row>
    <row r="141" spans="1:11" s="21" customFormat="1" ht="21.45" customHeight="1" thickBot="1">
      <c r="A141" s="191" t="s">
        <v>232</v>
      </c>
      <c r="B141" s="192" t="s">
        <v>233</v>
      </c>
      <c r="C141" s="193">
        <f>C142+C145+C148+C151+C154</f>
        <v>9230554</v>
      </c>
      <c r="D141" s="193">
        <f>D142+D145+D148+D151+D154</f>
        <v>7689865.2300000004</v>
      </c>
      <c r="E141" s="194">
        <f t="shared" si="1"/>
        <v>83.30881580888861</v>
      </c>
      <c r="F141" s="120">
        <f>F142+F145+F148</f>
        <v>10129241.609999999</v>
      </c>
      <c r="G141" s="120">
        <f>G142+G145+G148</f>
        <v>9532742.5999999996</v>
      </c>
      <c r="H141" s="194">
        <f t="shared" si="11"/>
        <v>94.11111874939273</v>
      </c>
      <c r="I141" s="195">
        <f t="shared" si="12"/>
        <v>19359795.609999999</v>
      </c>
      <c r="J141" s="195">
        <f t="shared" si="13"/>
        <v>17222607.829999998</v>
      </c>
      <c r="K141" s="196">
        <f t="shared" si="2"/>
        <v>88.960690375800922</v>
      </c>
    </row>
    <row r="142" spans="1:11" s="25" customFormat="1" ht="36.450000000000003" customHeight="1">
      <c r="A142" s="669" t="s">
        <v>515</v>
      </c>
      <c r="B142" s="186" t="s">
        <v>234</v>
      </c>
      <c r="C142" s="187">
        <f>C143+C144</f>
        <v>2363000</v>
      </c>
      <c r="D142" s="187">
        <f>D143+D144</f>
        <v>2071273.53</v>
      </c>
      <c r="E142" s="188">
        <f t="shared" si="1"/>
        <v>87.654402454506979</v>
      </c>
      <c r="F142" s="189">
        <f>F143+F144</f>
        <v>974074.7</v>
      </c>
      <c r="G142" s="189">
        <f>G143+G144</f>
        <v>963552.7</v>
      </c>
      <c r="H142" s="75">
        <f t="shared" si="11"/>
        <v>98.919795370929975</v>
      </c>
      <c r="I142" s="112">
        <f t="shared" si="12"/>
        <v>3337074.7</v>
      </c>
      <c r="J142" s="112">
        <f t="shared" si="13"/>
        <v>3034826.23</v>
      </c>
      <c r="K142" s="653">
        <f t="shared" si="2"/>
        <v>90.942711890746693</v>
      </c>
    </row>
    <row r="143" spans="1:11" s="127" customFormat="1" ht="32.25" customHeight="1">
      <c r="A143" s="670" t="s">
        <v>327</v>
      </c>
      <c r="B143" s="81" t="s">
        <v>326</v>
      </c>
      <c r="C143" s="78">
        <v>439600</v>
      </c>
      <c r="D143" s="78">
        <v>308920</v>
      </c>
      <c r="E143" s="62">
        <f t="shared" ref="E143" si="158">D143/C143*100</f>
        <v>70.272975432211098</v>
      </c>
      <c r="F143" s="60">
        <v>966639.7</v>
      </c>
      <c r="G143" s="60">
        <v>956117.7</v>
      </c>
      <c r="H143" s="62">
        <f t="shared" si="11"/>
        <v>98.911486875616646</v>
      </c>
      <c r="I143" s="65">
        <f t="shared" ref="I143" si="159">C143+F143</f>
        <v>1406239.7</v>
      </c>
      <c r="J143" s="65">
        <f t="shared" ref="J143" si="160">D143+G143</f>
        <v>1265037.7</v>
      </c>
      <c r="K143" s="649">
        <f t="shared" ref="K143" si="161">J143/I143*100</f>
        <v>89.958895343375673</v>
      </c>
    </row>
    <row r="144" spans="1:11" ht="32.549999999999997" customHeight="1">
      <c r="A144" s="670" t="s">
        <v>516</v>
      </c>
      <c r="B144" s="81" t="s">
        <v>235</v>
      </c>
      <c r="C144" s="78">
        <v>1923400</v>
      </c>
      <c r="D144" s="78">
        <v>1762353.53</v>
      </c>
      <c r="E144" s="62">
        <f t="shared" si="1"/>
        <v>91.626990225642089</v>
      </c>
      <c r="F144" s="60">
        <v>7435</v>
      </c>
      <c r="G144" s="60">
        <v>7435</v>
      </c>
      <c r="H144" s="62">
        <f t="shared" si="11"/>
        <v>100</v>
      </c>
      <c r="I144" s="65">
        <f t="shared" si="12"/>
        <v>1930835</v>
      </c>
      <c r="J144" s="65">
        <f t="shared" si="13"/>
        <v>1769788.53</v>
      </c>
      <c r="K144" s="649">
        <f t="shared" si="2"/>
        <v>91.65923188672258</v>
      </c>
    </row>
    <row r="145" spans="1:11" s="25" customFormat="1" ht="18">
      <c r="A145" s="668" t="s">
        <v>236</v>
      </c>
      <c r="B145" s="73" t="s">
        <v>237</v>
      </c>
      <c r="C145" s="74">
        <f>C146+C147</f>
        <v>4224060</v>
      </c>
      <c r="D145" s="74">
        <f>D146+D147</f>
        <v>3472356.01</v>
      </c>
      <c r="E145" s="75">
        <f t="shared" si="1"/>
        <v>82.204230290289431</v>
      </c>
      <c r="F145" s="76">
        <f>F146+F147</f>
        <v>8602166.9100000001</v>
      </c>
      <c r="G145" s="76">
        <f>G146+G147</f>
        <v>8469689.9000000004</v>
      </c>
      <c r="H145" s="75">
        <f t="shared" si="11"/>
        <v>98.459957689893287</v>
      </c>
      <c r="I145" s="77">
        <f t="shared" si="12"/>
        <v>12826226.91</v>
      </c>
      <c r="J145" s="77">
        <f t="shared" si="13"/>
        <v>11942045.91</v>
      </c>
      <c r="K145" s="655">
        <f t="shared" si="2"/>
        <v>93.106460643459798</v>
      </c>
    </row>
    <row r="146" spans="1:11" ht="18">
      <c r="A146" s="648" t="s">
        <v>238</v>
      </c>
      <c r="B146" s="63" t="s">
        <v>239</v>
      </c>
      <c r="C146" s="59">
        <v>689100</v>
      </c>
      <c r="D146" s="59">
        <v>661462.49</v>
      </c>
      <c r="E146" s="62">
        <f t="shared" si="1"/>
        <v>95.989332462632419</v>
      </c>
      <c r="F146" s="60">
        <v>99900</v>
      </c>
      <c r="G146" s="60">
        <v>99900</v>
      </c>
      <c r="H146" s="62">
        <f t="shared" si="11"/>
        <v>100</v>
      </c>
      <c r="I146" s="65">
        <f t="shared" si="12"/>
        <v>789000</v>
      </c>
      <c r="J146" s="65">
        <f t="shared" si="13"/>
        <v>761362.49</v>
      </c>
      <c r="K146" s="649">
        <f t="shared" si="2"/>
        <v>96.497147021546255</v>
      </c>
    </row>
    <row r="147" spans="1:11" ht="18">
      <c r="A147" s="648" t="s">
        <v>469</v>
      </c>
      <c r="B147" s="63" t="s">
        <v>468</v>
      </c>
      <c r="C147" s="59">
        <v>3534960</v>
      </c>
      <c r="D147" s="59">
        <v>2810893.52</v>
      </c>
      <c r="E147" s="62">
        <f t="shared" ref="E147" si="162">D147/C147*100</f>
        <v>79.516982370380433</v>
      </c>
      <c r="F147" s="60">
        <v>8502266.9100000001</v>
      </c>
      <c r="G147" s="60">
        <v>8369789.9000000004</v>
      </c>
      <c r="H147" s="62">
        <f t="shared" si="11"/>
        <v>98.441862489118222</v>
      </c>
      <c r="I147" s="65">
        <f t="shared" ref="I147" si="163">C147+F147</f>
        <v>12037226.91</v>
      </c>
      <c r="J147" s="65">
        <f t="shared" ref="J147" si="164">D147+G147</f>
        <v>11180683.42</v>
      </c>
      <c r="K147" s="649">
        <f t="shared" ref="K147" si="165">J147/I147*100</f>
        <v>92.884212481793284</v>
      </c>
    </row>
    <row r="148" spans="1:11" s="25" customFormat="1" ht="32.4">
      <c r="A148" s="668" t="s">
        <v>240</v>
      </c>
      <c r="B148" s="73" t="s">
        <v>241</v>
      </c>
      <c r="C148" s="74">
        <f>C149</f>
        <v>450000</v>
      </c>
      <c r="D148" s="74">
        <f>D149</f>
        <v>287200</v>
      </c>
      <c r="E148" s="75">
        <f t="shared" si="1"/>
        <v>63.822222222222223</v>
      </c>
      <c r="F148" s="76">
        <f>F149+F150</f>
        <v>553000</v>
      </c>
      <c r="G148" s="76">
        <f>G149+G150</f>
        <v>99500</v>
      </c>
      <c r="H148" s="75">
        <f t="shared" si="11"/>
        <v>17.992766726943941</v>
      </c>
      <c r="I148" s="77">
        <f t="shared" si="12"/>
        <v>1003000</v>
      </c>
      <c r="J148" s="77">
        <f t="shared" si="13"/>
        <v>386700</v>
      </c>
      <c r="K148" s="655">
        <f t="shared" si="2"/>
        <v>38.554336989032898</v>
      </c>
    </row>
    <row r="149" spans="1:11" ht="33" customHeight="1">
      <c r="A149" s="648" t="s">
        <v>242</v>
      </c>
      <c r="B149" s="63" t="s">
        <v>243</v>
      </c>
      <c r="C149" s="78">
        <v>450000</v>
      </c>
      <c r="D149" s="78">
        <v>287200</v>
      </c>
      <c r="E149" s="62">
        <f t="shared" si="1"/>
        <v>63.822222222222223</v>
      </c>
      <c r="F149" s="136">
        <v>0</v>
      </c>
      <c r="G149" s="136">
        <v>0</v>
      </c>
      <c r="H149" s="62">
        <v>0</v>
      </c>
      <c r="I149" s="65">
        <f t="shared" si="12"/>
        <v>450000</v>
      </c>
      <c r="J149" s="65">
        <f t="shared" si="13"/>
        <v>287200</v>
      </c>
      <c r="K149" s="649">
        <f t="shared" si="2"/>
        <v>63.822222222222223</v>
      </c>
    </row>
    <row r="150" spans="1:11" ht="33" customHeight="1">
      <c r="A150" s="648" t="s">
        <v>244</v>
      </c>
      <c r="B150" s="63" t="s">
        <v>245</v>
      </c>
      <c r="C150" s="59">
        <v>0</v>
      </c>
      <c r="D150" s="59">
        <v>0</v>
      </c>
      <c r="E150" s="62">
        <v>0</v>
      </c>
      <c r="F150" s="60">
        <v>553000</v>
      </c>
      <c r="G150" s="60">
        <v>99500</v>
      </c>
      <c r="H150" s="62">
        <f t="shared" si="11"/>
        <v>17.992766726943941</v>
      </c>
      <c r="I150" s="65">
        <f t="shared" si="12"/>
        <v>553000</v>
      </c>
      <c r="J150" s="65">
        <f t="shared" si="13"/>
        <v>99500</v>
      </c>
      <c r="K150" s="649">
        <f t="shared" si="2"/>
        <v>17.992766726943941</v>
      </c>
    </row>
    <row r="151" spans="1:11" s="21" customFormat="1" ht="18">
      <c r="A151" s="658" t="s">
        <v>246</v>
      </c>
      <c r="B151" s="181" t="s">
        <v>247</v>
      </c>
      <c r="C151" s="74">
        <f>C152+C153</f>
        <v>1921700</v>
      </c>
      <c r="D151" s="74">
        <f>D152+D153</f>
        <v>1859035.69</v>
      </c>
      <c r="E151" s="75">
        <f t="shared" ref="E151:E166" si="166">D151/C151*100</f>
        <v>96.739121090700948</v>
      </c>
      <c r="F151" s="76">
        <v>0</v>
      </c>
      <c r="G151" s="76">
        <v>0</v>
      </c>
      <c r="H151" s="75">
        <v>0</v>
      </c>
      <c r="I151" s="77">
        <f t="shared" si="12"/>
        <v>1921700</v>
      </c>
      <c r="J151" s="77">
        <f t="shared" si="13"/>
        <v>1859035.69</v>
      </c>
      <c r="K151" s="655">
        <f t="shared" ref="K151:K166" si="167">J151/I151*100</f>
        <v>96.739121090700948</v>
      </c>
    </row>
    <row r="152" spans="1:11" s="21" customFormat="1" ht="21" customHeight="1">
      <c r="A152" s="670" t="s">
        <v>397</v>
      </c>
      <c r="B152" s="81" t="s">
        <v>396</v>
      </c>
      <c r="C152" s="59">
        <v>1221700</v>
      </c>
      <c r="D152" s="59">
        <v>1159035.69</v>
      </c>
      <c r="E152" s="62">
        <f t="shared" ref="E152" si="168">D152/C152*100</f>
        <v>94.870728493083405</v>
      </c>
      <c r="F152" s="60">
        <v>0</v>
      </c>
      <c r="G152" s="60">
        <v>0</v>
      </c>
      <c r="H152" s="62">
        <v>0</v>
      </c>
      <c r="I152" s="65">
        <f t="shared" ref="I152" si="169">C152+F152</f>
        <v>1221700</v>
      </c>
      <c r="J152" s="65">
        <f t="shared" ref="J152" si="170">D152+G152</f>
        <v>1159035.69</v>
      </c>
      <c r="K152" s="649">
        <f t="shared" ref="K152" si="171">J152/I152*100</f>
        <v>94.870728493083405</v>
      </c>
    </row>
    <row r="153" spans="1:11" ht="18">
      <c r="A153" s="648" t="s">
        <v>248</v>
      </c>
      <c r="B153" s="63" t="s">
        <v>249</v>
      </c>
      <c r="C153" s="59">
        <v>700000</v>
      </c>
      <c r="D153" s="59">
        <v>700000</v>
      </c>
      <c r="E153" s="62">
        <f t="shared" si="166"/>
        <v>100</v>
      </c>
      <c r="F153" s="60">
        <v>0</v>
      </c>
      <c r="G153" s="60">
        <v>0</v>
      </c>
      <c r="H153" s="62">
        <v>0</v>
      </c>
      <c r="I153" s="65">
        <f t="shared" ref="I153:I166" si="172">C153+F153</f>
        <v>700000</v>
      </c>
      <c r="J153" s="65">
        <f t="shared" ref="J153:J166" si="173">D153+G153</f>
        <v>700000</v>
      </c>
      <c r="K153" s="649">
        <f t="shared" si="167"/>
        <v>100</v>
      </c>
    </row>
    <row r="154" spans="1:11" s="21" customFormat="1" ht="18">
      <c r="A154" s="658" t="s">
        <v>300</v>
      </c>
      <c r="B154" s="181" t="s">
        <v>301</v>
      </c>
      <c r="C154" s="74">
        <f>C155</f>
        <v>271794</v>
      </c>
      <c r="D154" s="74">
        <f>D155</f>
        <v>0</v>
      </c>
      <c r="E154" s="229">
        <f t="shared" si="166"/>
        <v>0</v>
      </c>
      <c r="F154" s="230">
        <v>0</v>
      </c>
      <c r="G154" s="230">
        <v>0</v>
      </c>
      <c r="H154" s="229">
        <v>0</v>
      </c>
      <c r="I154" s="231">
        <f t="shared" si="172"/>
        <v>271794</v>
      </c>
      <c r="J154" s="231">
        <f t="shared" si="173"/>
        <v>0</v>
      </c>
      <c r="K154" s="659">
        <f t="shared" si="167"/>
        <v>0</v>
      </c>
    </row>
    <row r="155" spans="1:11" s="21" customFormat="1" ht="18.600000000000001" thickBot="1">
      <c r="A155" s="671" t="s">
        <v>399</v>
      </c>
      <c r="B155" s="232" t="s">
        <v>398</v>
      </c>
      <c r="C155" s="122">
        <v>271794</v>
      </c>
      <c r="D155" s="122">
        <v>0</v>
      </c>
      <c r="E155" s="123">
        <f t="shared" ref="E155" si="174">D155/C155*100</f>
        <v>0</v>
      </c>
      <c r="F155" s="124">
        <v>0</v>
      </c>
      <c r="G155" s="124">
        <v>0</v>
      </c>
      <c r="H155" s="123">
        <v>0</v>
      </c>
      <c r="I155" s="125">
        <f t="shared" ref="I155" si="175">C155+F155</f>
        <v>271794</v>
      </c>
      <c r="J155" s="125">
        <f t="shared" ref="J155" si="176">D155+G155</f>
        <v>0</v>
      </c>
      <c r="K155" s="651">
        <f t="shared" ref="K155" si="177">J155/I155*100</f>
        <v>0</v>
      </c>
    </row>
    <row r="156" spans="1:11" s="21" customFormat="1" ht="34.799999999999997" customHeight="1" thickBot="1">
      <c r="A156" s="223" t="s">
        <v>250</v>
      </c>
      <c r="B156" s="224" t="s">
        <v>251</v>
      </c>
      <c r="C156" s="202">
        <f>C13+C17+C49+C58+C86+C107+C141+C97+C80</f>
        <v>441920345</v>
      </c>
      <c r="D156" s="202">
        <f>D13+D17+D49+D58+D86+D107+D141+D97+D80</f>
        <v>420894603.42000002</v>
      </c>
      <c r="E156" s="197">
        <f t="shared" si="166"/>
        <v>95.242187462539206</v>
      </c>
      <c r="F156" s="198">
        <f>F13+F17+F58+F80+F86+F97+F107+F141+F56</f>
        <v>43428469.199999996</v>
      </c>
      <c r="G156" s="198">
        <f>G13+G17+G58+G80+G86+G97+G107+G141+G56</f>
        <v>36051403.950000003</v>
      </c>
      <c r="H156" s="197">
        <f t="shared" ref="H156:H166" si="178">G156/F156*100</f>
        <v>83.013296609589005</v>
      </c>
      <c r="I156" s="199">
        <f t="shared" si="172"/>
        <v>485348814.19999999</v>
      </c>
      <c r="J156" s="199">
        <f t="shared" si="173"/>
        <v>456946007.37</v>
      </c>
      <c r="K156" s="200">
        <f t="shared" si="167"/>
        <v>94.147959982797886</v>
      </c>
    </row>
    <row r="157" spans="1:11" ht="49.8" customHeight="1" thickBot="1">
      <c r="A157" s="672" t="s">
        <v>252</v>
      </c>
      <c r="B157" s="217" t="s">
        <v>253</v>
      </c>
      <c r="C157" s="218">
        <v>17042000</v>
      </c>
      <c r="D157" s="218">
        <v>17038553.120000001</v>
      </c>
      <c r="E157" s="219">
        <f t="shared" si="166"/>
        <v>99.979774204905539</v>
      </c>
      <c r="F157" s="220">
        <v>0</v>
      </c>
      <c r="G157" s="220">
        <v>0</v>
      </c>
      <c r="H157" s="219">
        <v>0</v>
      </c>
      <c r="I157" s="221">
        <f t="shared" si="172"/>
        <v>17042000</v>
      </c>
      <c r="J157" s="221">
        <f t="shared" si="173"/>
        <v>17038553.120000001</v>
      </c>
      <c r="K157" s="673">
        <f t="shared" si="167"/>
        <v>99.979774204905539</v>
      </c>
    </row>
    <row r="158" spans="1:11" s="21" customFormat="1" ht="38.549999999999997" customHeight="1" thickBot="1">
      <c r="A158" s="223" t="s">
        <v>254</v>
      </c>
      <c r="B158" s="224" t="s">
        <v>255</v>
      </c>
      <c r="C158" s="209">
        <f>C156+C157</f>
        <v>458962345</v>
      </c>
      <c r="D158" s="209">
        <f>D156+D157</f>
        <v>437933156.54000002</v>
      </c>
      <c r="E158" s="197">
        <f t="shared" si="166"/>
        <v>95.41810157432414</v>
      </c>
      <c r="F158" s="204">
        <f>F156+F157</f>
        <v>43428469.199999996</v>
      </c>
      <c r="G158" s="204">
        <f>G156+G157</f>
        <v>36051403.950000003</v>
      </c>
      <c r="H158" s="197">
        <f t="shared" si="178"/>
        <v>83.013296609589005</v>
      </c>
      <c r="I158" s="199">
        <f t="shared" si="172"/>
        <v>502390814.19999999</v>
      </c>
      <c r="J158" s="199">
        <f t="shared" si="173"/>
        <v>473984560.49000001</v>
      </c>
      <c r="K158" s="200">
        <f t="shared" si="167"/>
        <v>94.345785610106404</v>
      </c>
    </row>
    <row r="159" spans="1:11" s="21" customFormat="1" ht="63" hidden="1" thickBot="1">
      <c r="A159" s="674" t="s">
        <v>256</v>
      </c>
      <c r="B159" s="222" t="s">
        <v>257</v>
      </c>
      <c r="C159" s="211">
        <f>SUM(C160:C161)</f>
        <v>0</v>
      </c>
      <c r="D159" s="211">
        <f>SUM(D160:D161)</f>
        <v>0</v>
      </c>
      <c r="E159" s="190">
        <v>0</v>
      </c>
      <c r="F159" s="212">
        <v>0</v>
      </c>
      <c r="G159" s="212">
        <v>0</v>
      </c>
      <c r="H159" s="190">
        <v>0</v>
      </c>
      <c r="I159" s="213">
        <f t="shared" si="172"/>
        <v>0</v>
      </c>
      <c r="J159" s="213">
        <f t="shared" si="173"/>
        <v>0</v>
      </c>
      <c r="K159" s="675">
        <v>0</v>
      </c>
    </row>
    <row r="160" spans="1:11" ht="47.4" hidden="1" thickBot="1">
      <c r="A160" s="648" t="s">
        <v>258</v>
      </c>
      <c r="B160" s="63" t="s">
        <v>259</v>
      </c>
      <c r="C160" s="78">
        <v>0</v>
      </c>
      <c r="D160" s="78">
        <v>0</v>
      </c>
      <c r="E160" s="62">
        <v>0</v>
      </c>
      <c r="F160" s="60">
        <v>0</v>
      </c>
      <c r="G160" s="60">
        <v>0</v>
      </c>
      <c r="H160" s="62">
        <v>0</v>
      </c>
      <c r="I160" s="65">
        <f t="shared" si="172"/>
        <v>0</v>
      </c>
      <c r="J160" s="65">
        <f t="shared" si="173"/>
        <v>0</v>
      </c>
      <c r="K160" s="649">
        <v>0</v>
      </c>
    </row>
    <row r="161" spans="1:24" ht="47.4" hidden="1" thickBot="1">
      <c r="A161" s="664" t="s">
        <v>311</v>
      </c>
      <c r="B161" s="232" t="s">
        <v>302</v>
      </c>
      <c r="C161" s="326">
        <v>0</v>
      </c>
      <c r="D161" s="326">
        <v>0</v>
      </c>
      <c r="E161" s="123">
        <v>0</v>
      </c>
      <c r="F161" s="124">
        <v>0</v>
      </c>
      <c r="G161" s="124">
        <v>0</v>
      </c>
      <c r="H161" s="123">
        <v>0</v>
      </c>
      <c r="I161" s="125">
        <f t="shared" si="172"/>
        <v>0</v>
      </c>
      <c r="J161" s="125">
        <f t="shared" si="173"/>
        <v>0</v>
      </c>
      <c r="K161" s="651">
        <v>0</v>
      </c>
    </row>
    <row r="162" spans="1:24" s="21" customFormat="1" ht="70.2" customHeight="1" thickBot="1">
      <c r="A162" s="332" t="s">
        <v>260</v>
      </c>
      <c r="B162" s="333" t="s">
        <v>261</v>
      </c>
      <c r="C162" s="334">
        <f>C163+C164+C165</f>
        <v>7990000</v>
      </c>
      <c r="D162" s="334">
        <f>D163+D164+D165</f>
        <v>7989220.5999999996</v>
      </c>
      <c r="E162" s="252">
        <f t="shared" ref="E162" si="179">D162/C162*100</f>
        <v>99.990245306633284</v>
      </c>
      <c r="F162" s="335">
        <f>F163+F164+F165</f>
        <v>2450000</v>
      </c>
      <c r="G162" s="335">
        <f>G163+G164+G165</f>
        <v>2450000</v>
      </c>
      <c r="H162" s="75">
        <f t="shared" ref="H162" si="180">G162/F162*100</f>
        <v>100</v>
      </c>
      <c r="I162" s="336">
        <f t="shared" si="172"/>
        <v>10440000</v>
      </c>
      <c r="J162" s="336">
        <f t="shared" si="173"/>
        <v>10439220.6</v>
      </c>
      <c r="K162" s="337">
        <f t="shared" si="167"/>
        <v>99.992534482758629</v>
      </c>
    </row>
    <row r="163" spans="1:24" s="21" customFormat="1" ht="82.2" customHeight="1">
      <c r="A163" s="665" t="s">
        <v>471</v>
      </c>
      <c r="B163" s="327" t="s">
        <v>470</v>
      </c>
      <c r="C163" s="328">
        <v>7650000</v>
      </c>
      <c r="D163" s="328">
        <v>7650000</v>
      </c>
      <c r="E163" s="329">
        <f t="shared" ref="E163:E165" si="181">D163/C163*100</f>
        <v>100</v>
      </c>
      <c r="F163" s="330">
        <v>0</v>
      </c>
      <c r="G163" s="330">
        <v>0</v>
      </c>
      <c r="H163" s="329">
        <v>0</v>
      </c>
      <c r="I163" s="331">
        <f t="shared" ref="I163" si="182">C163+F163</f>
        <v>7650000</v>
      </c>
      <c r="J163" s="331">
        <f t="shared" ref="J163" si="183">D163+G163</f>
        <v>7650000</v>
      </c>
      <c r="K163" s="676">
        <f t="shared" si="167"/>
        <v>100</v>
      </c>
    </row>
    <row r="164" spans="1:24" s="249" customFormat="1" ht="44.4" hidden="1" customHeight="1">
      <c r="A164" s="677" t="s">
        <v>262</v>
      </c>
      <c r="B164" s="244" t="s">
        <v>263</v>
      </c>
      <c r="C164" s="245">
        <v>0</v>
      </c>
      <c r="D164" s="245">
        <v>0</v>
      </c>
      <c r="E164" s="246">
        <v>0</v>
      </c>
      <c r="F164" s="247">
        <v>0</v>
      </c>
      <c r="G164" s="247">
        <v>0</v>
      </c>
      <c r="H164" s="246">
        <v>0</v>
      </c>
      <c r="I164" s="248">
        <f t="shared" si="172"/>
        <v>0</v>
      </c>
      <c r="J164" s="248">
        <f t="shared" si="173"/>
        <v>0</v>
      </c>
      <c r="K164" s="678">
        <v>0</v>
      </c>
    </row>
    <row r="165" spans="1:24" ht="28.2" customHeight="1" thickBot="1">
      <c r="A165" s="650" t="s">
        <v>264</v>
      </c>
      <c r="B165" s="108" t="s">
        <v>265</v>
      </c>
      <c r="C165" s="122">
        <v>340000</v>
      </c>
      <c r="D165" s="122">
        <v>339220.6</v>
      </c>
      <c r="E165" s="62">
        <f t="shared" si="181"/>
        <v>99.770764705882343</v>
      </c>
      <c r="F165" s="124">
        <v>2450000</v>
      </c>
      <c r="G165" s="124">
        <v>2450000</v>
      </c>
      <c r="H165" s="62">
        <f t="shared" ref="H165" si="184">G165/F165*100</f>
        <v>100</v>
      </c>
      <c r="I165" s="125">
        <f t="shared" si="172"/>
        <v>2790000</v>
      </c>
      <c r="J165" s="125">
        <f t="shared" si="173"/>
        <v>2789220.6</v>
      </c>
      <c r="K165" s="649">
        <f t="shared" si="167"/>
        <v>99.972064516129038</v>
      </c>
    </row>
    <row r="166" spans="1:24" s="21" customFormat="1" ht="27.6" customHeight="1" thickBot="1">
      <c r="A166" s="225" t="s">
        <v>154</v>
      </c>
      <c r="B166" s="226" t="s">
        <v>266</v>
      </c>
      <c r="C166" s="158">
        <f>C158+C159+C162</f>
        <v>466952345</v>
      </c>
      <c r="D166" s="158">
        <f>D158+D159+D162</f>
        <v>445922377.14000005</v>
      </c>
      <c r="E166" s="227">
        <f t="shared" si="166"/>
        <v>95.496335314474123</v>
      </c>
      <c r="F166" s="158">
        <f>F158+F159+F162</f>
        <v>45878469.199999996</v>
      </c>
      <c r="G166" s="158">
        <f>G158+G159+G162</f>
        <v>38501403.950000003</v>
      </c>
      <c r="H166" s="227">
        <f t="shared" si="178"/>
        <v>83.920419799011086</v>
      </c>
      <c r="I166" s="228">
        <f t="shared" si="172"/>
        <v>512830814.19999999</v>
      </c>
      <c r="J166" s="228">
        <f t="shared" si="173"/>
        <v>484423781.09000003</v>
      </c>
      <c r="K166" s="250">
        <f t="shared" si="167"/>
        <v>94.460739814491447</v>
      </c>
    </row>
    <row r="167" spans="1:24" ht="8.25" customHeight="1">
      <c r="A167" s="7"/>
      <c r="B167" s="8"/>
      <c r="C167" s="6"/>
      <c r="D167" s="9"/>
      <c r="E167" s="9"/>
      <c r="F167" s="6"/>
      <c r="G167" s="10"/>
      <c r="H167" s="10"/>
      <c r="I167" s="10"/>
      <c r="J167" s="10"/>
      <c r="K167" s="3"/>
    </row>
    <row r="168" spans="1:24" s="17" customFormat="1" ht="18">
      <c r="A168" s="325"/>
      <c r="B168" s="325"/>
      <c r="C168" s="30"/>
      <c r="D168" s="11"/>
      <c r="E168" s="11"/>
      <c r="F168" s="11"/>
      <c r="G168" s="12"/>
      <c r="H168" s="13"/>
      <c r="I168" s="13"/>
      <c r="J168" s="14"/>
      <c r="K168" s="14"/>
      <c r="L168" s="14"/>
      <c r="M168" s="14"/>
      <c r="N168" s="14"/>
      <c r="O168" s="14"/>
      <c r="P168" s="15"/>
      <c r="Q168" s="15"/>
      <c r="R168" s="15"/>
      <c r="S168" s="15"/>
      <c r="T168" s="15"/>
      <c r="U168" s="15"/>
      <c r="V168" s="15"/>
      <c r="W168" s="15"/>
      <c r="X168" s="16"/>
    </row>
    <row r="169" spans="1:24" s="17" customFormat="1" ht="15.6">
      <c r="A169" s="427" t="s">
        <v>643</v>
      </c>
      <c r="B169" s="349"/>
      <c r="C169" s="349"/>
      <c r="D169" s="349"/>
      <c r="E169" s="349"/>
      <c r="F169" s="16"/>
      <c r="G169" s="16"/>
      <c r="H169" s="16"/>
      <c r="I169" s="428" t="s">
        <v>623</v>
      </c>
      <c r="J169" s="428"/>
    </row>
    <row r="170" spans="1:24" s="17" customFormat="1" ht="15.6">
      <c r="C170" s="29"/>
      <c r="E170" s="11"/>
      <c r="F170" s="11"/>
      <c r="G170" s="18"/>
    </row>
  </sheetData>
  <mergeCells count="18">
    <mergeCell ref="A9:A11"/>
    <mergeCell ref="B9:B10"/>
    <mergeCell ref="A5:K5"/>
    <mergeCell ref="A6:K6"/>
    <mergeCell ref="A8:K8"/>
    <mergeCell ref="A12:K12"/>
    <mergeCell ref="C9:E9"/>
    <mergeCell ref="E10:E11"/>
    <mergeCell ref="H10:H11"/>
    <mergeCell ref="F9:H9"/>
    <mergeCell ref="K10:K11"/>
    <mergeCell ref="I9:K9"/>
    <mergeCell ref="C10:C11"/>
    <mergeCell ref="D10:D11"/>
    <mergeCell ref="F10:F11"/>
    <mergeCell ref="G10:G11"/>
    <mergeCell ref="I10:I11"/>
    <mergeCell ref="J10:J11"/>
  </mergeCells>
  <pageMargins left="0.19685039370078741" right="0.19685039370078741" top="0.27559055118110237" bottom="0.19685039370078741" header="0.31496062992125984" footer="0.19685039370078741"/>
  <pageSetup paperSize="9" scale="69" fitToWidth="0" orientation="landscape" verticalDpi="300" r:id="rId1"/>
  <rowBreaks count="7" manualBreakCount="7">
    <brk id="31" max="10" man="1"/>
    <brk id="63" max="10" man="1"/>
    <brk id="79" max="10" man="1"/>
    <brk id="100" max="10" man="1"/>
    <brk id="132" max="10" man="1"/>
    <brk id="157" max="10" man="1"/>
    <brk id="169" max="10" man="1"/>
  </rowBreaks>
  <drawing r:id="rId2"/>
</worksheet>
</file>

<file path=xl/worksheets/sheet3.xml><?xml version="1.0" encoding="utf-8"?>
<worksheet xmlns="http://schemas.openxmlformats.org/spreadsheetml/2006/main" xmlns:r="http://schemas.openxmlformats.org/officeDocument/2006/relationships">
  <dimension ref="A1:M31"/>
  <sheetViews>
    <sheetView zoomScale="90" zoomScaleNormal="90" workbookViewId="0">
      <selection activeCell="I4" sqref="I4"/>
    </sheetView>
  </sheetViews>
  <sheetFormatPr defaultColWidth="8.88671875" defaultRowHeight="13.2"/>
  <cols>
    <col min="1" max="1" width="8.88671875" style="16"/>
    <col min="2" max="2" width="34.88671875" style="16" customWidth="1"/>
    <col min="3" max="3" width="15.109375" style="16" customWidth="1"/>
    <col min="4" max="4" width="15.5546875" style="16" customWidth="1"/>
    <col min="5" max="5" width="10.44140625" style="16" customWidth="1"/>
    <col min="6" max="6" width="15.88671875" style="16" customWidth="1"/>
    <col min="7" max="7" width="15" style="16" customWidth="1"/>
    <col min="8" max="8" width="10.21875" style="16" customWidth="1"/>
    <col min="9" max="10" width="14" style="16" customWidth="1"/>
    <col min="11" max="11" width="10.33203125" style="16" customWidth="1"/>
    <col min="12" max="12" width="14" style="16" customWidth="1"/>
    <col min="13" max="13" width="12.109375" style="16" customWidth="1"/>
    <col min="14" max="16384" width="8.88671875" style="16"/>
  </cols>
  <sheetData>
    <row r="1" spans="1:13" ht="18">
      <c r="I1" s="604" t="s">
        <v>644</v>
      </c>
    </row>
    <row r="2" spans="1:13" ht="18">
      <c r="I2" s="604" t="s">
        <v>627</v>
      </c>
    </row>
    <row r="3" spans="1:13" ht="18">
      <c r="I3" s="604" t="s">
        <v>868</v>
      </c>
    </row>
    <row r="5" spans="1:13" ht="18.899999999999999" customHeight="1">
      <c r="A5" s="740" t="s">
        <v>847</v>
      </c>
      <c r="B5" s="740"/>
      <c r="C5" s="740"/>
      <c r="D5" s="740"/>
      <c r="E5" s="740"/>
      <c r="F5" s="740"/>
      <c r="G5" s="740"/>
      <c r="H5" s="740"/>
      <c r="I5" s="740"/>
      <c r="J5" s="740"/>
      <c r="K5" s="740"/>
      <c r="L5" s="740"/>
    </row>
    <row r="6" spans="1:13" ht="18">
      <c r="A6" s="741" t="s">
        <v>848</v>
      </c>
      <c r="B6" s="742"/>
      <c r="C6" s="742"/>
      <c r="D6" s="742"/>
      <c r="E6" s="742"/>
      <c r="F6" s="742"/>
      <c r="G6" s="742"/>
      <c r="H6" s="742"/>
      <c r="I6" s="742"/>
      <c r="J6" s="742"/>
      <c r="K6" s="742"/>
      <c r="L6" s="742"/>
    </row>
    <row r="7" spans="1:13" ht="3" customHeight="1">
      <c r="A7" s="410"/>
      <c r="B7" s="411"/>
      <c r="C7" s="411"/>
      <c r="D7" s="411"/>
      <c r="E7" s="411"/>
      <c r="F7" s="411"/>
      <c r="G7" s="411"/>
      <c r="H7" s="411"/>
      <c r="I7" s="411"/>
      <c r="J7" s="411"/>
      <c r="K7" s="411"/>
      <c r="L7" s="411"/>
    </row>
    <row r="8" spans="1:13" ht="15.6">
      <c r="A8" s="684" t="s">
        <v>628</v>
      </c>
      <c r="B8" s="684"/>
      <c r="C8" s="412"/>
      <c r="D8" s="412"/>
      <c r="E8" s="412"/>
      <c r="F8" s="412"/>
      <c r="G8" s="412"/>
      <c r="H8" s="412"/>
      <c r="I8" s="412"/>
      <c r="J8" s="412"/>
      <c r="K8" s="412"/>
      <c r="L8" s="412"/>
    </row>
    <row r="9" spans="1:13" ht="15.6">
      <c r="A9" s="685" t="s">
        <v>545</v>
      </c>
      <c r="B9" s="685"/>
      <c r="C9" s="413"/>
      <c r="D9" s="413"/>
      <c r="E9" s="413"/>
      <c r="F9" s="413"/>
      <c r="G9" s="413"/>
      <c r="H9" s="413"/>
      <c r="I9" s="413"/>
      <c r="J9" s="413"/>
      <c r="K9" s="413"/>
      <c r="L9" s="414" t="s">
        <v>547</v>
      </c>
    </row>
    <row r="10" spans="1:13" ht="27.6" customHeight="1">
      <c r="A10" s="743" t="s">
        <v>629</v>
      </c>
      <c r="B10" s="743" t="s">
        <v>630</v>
      </c>
      <c r="C10" s="731" t="s">
        <v>154</v>
      </c>
      <c r="D10" s="732"/>
      <c r="E10" s="733"/>
      <c r="F10" s="737" t="s">
        <v>2</v>
      </c>
      <c r="G10" s="738"/>
      <c r="H10" s="739"/>
      <c r="I10" s="744" t="s">
        <v>3</v>
      </c>
      <c r="J10" s="744"/>
      <c r="K10" s="744"/>
      <c r="L10" s="744"/>
    </row>
    <row r="11" spans="1:13" ht="12.9" hidden="1" customHeight="1">
      <c r="A11" s="743"/>
      <c r="B11" s="743"/>
      <c r="C11" s="734"/>
      <c r="D11" s="735"/>
      <c r="E11" s="736"/>
      <c r="F11" s="431"/>
      <c r="G11" s="432"/>
      <c r="H11" s="432"/>
      <c r="I11" s="429" t="s">
        <v>626</v>
      </c>
      <c r="J11" s="430" t="s">
        <v>624</v>
      </c>
      <c r="K11" s="430" t="s">
        <v>625</v>
      </c>
      <c r="L11" s="745" t="s">
        <v>631</v>
      </c>
    </row>
    <row r="12" spans="1:13" ht="71.55" customHeight="1">
      <c r="A12" s="743"/>
      <c r="B12" s="743"/>
      <c r="C12" s="429" t="s">
        <v>626</v>
      </c>
      <c r="D12" s="430" t="s">
        <v>624</v>
      </c>
      <c r="E12" s="430" t="s">
        <v>625</v>
      </c>
      <c r="F12" s="433" t="s">
        <v>626</v>
      </c>
      <c r="G12" s="434" t="s">
        <v>624</v>
      </c>
      <c r="H12" s="434" t="s">
        <v>625</v>
      </c>
      <c r="I12" s="433" t="s">
        <v>626</v>
      </c>
      <c r="J12" s="434" t="s">
        <v>624</v>
      </c>
      <c r="K12" s="434" t="s">
        <v>625</v>
      </c>
      <c r="L12" s="746"/>
    </row>
    <row r="13" spans="1:13" ht="16.8" customHeight="1">
      <c r="A13" s="415">
        <v>1</v>
      </c>
      <c r="B13" s="415">
        <v>2</v>
      </c>
      <c r="C13" s="416">
        <v>3</v>
      </c>
      <c r="D13" s="416"/>
      <c r="E13" s="416"/>
      <c r="F13" s="415">
        <v>4</v>
      </c>
      <c r="G13" s="415"/>
      <c r="H13" s="415"/>
      <c r="I13" s="415">
        <v>5</v>
      </c>
      <c r="J13" s="415"/>
      <c r="K13" s="415"/>
      <c r="L13" s="415">
        <v>6</v>
      </c>
    </row>
    <row r="14" spans="1:13" ht="21.6" customHeight="1">
      <c r="A14" s="728" t="s">
        <v>632</v>
      </c>
      <c r="B14" s="729"/>
      <c r="C14" s="729"/>
      <c r="D14" s="729"/>
      <c r="E14" s="729"/>
      <c r="F14" s="729"/>
      <c r="G14" s="729"/>
      <c r="H14" s="729"/>
      <c r="I14" s="729"/>
      <c r="J14" s="729"/>
      <c r="K14" s="729"/>
      <c r="L14" s="730"/>
    </row>
    <row r="15" spans="1:13" ht="25.8" customHeight="1">
      <c r="A15" s="417">
        <v>200000</v>
      </c>
      <c r="B15" s="418" t="s">
        <v>633</v>
      </c>
      <c r="C15" s="419">
        <v>48953728</v>
      </c>
      <c r="D15" s="419">
        <f>D16</f>
        <v>48953728</v>
      </c>
      <c r="E15" s="419">
        <f>D15/C15*100</f>
        <v>100</v>
      </c>
      <c r="F15" s="420">
        <f>F16</f>
        <v>22969741</v>
      </c>
      <c r="G15" s="420">
        <f>G16</f>
        <v>24549833.09</v>
      </c>
      <c r="H15" s="600">
        <f>G15/F15*100</f>
        <v>106.87901570157017</v>
      </c>
      <c r="I15" s="420">
        <f>I16</f>
        <v>25983987</v>
      </c>
      <c r="J15" s="420">
        <f>J16</f>
        <v>24403894.91</v>
      </c>
      <c r="K15" s="600">
        <f>J15/I15*100</f>
        <v>93.918977522579581</v>
      </c>
      <c r="L15" s="420">
        <f>L16</f>
        <v>24403894.91</v>
      </c>
    </row>
    <row r="16" spans="1:13" ht="43.8" customHeight="1">
      <c r="A16" s="417">
        <v>208000</v>
      </c>
      <c r="B16" s="418" t="s">
        <v>634</v>
      </c>
      <c r="C16" s="419">
        <f>F16+I16</f>
        <v>48953728</v>
      </c>
      <c r="D16" s="419">
        <f>G16+J16</f>
        <v>48953728</v>
      </c>
      <c r="E16" s="419">
        <f t="shared" ref="E16:E20" si="0">D16/C16*100</f>
        <v>100</v>
      </c>
      <c r="F16" s="420">
        <f>F17-F18+F19</f>
        <v>22969741</v>
      </c>
      <c r="G16" s="420">
        <f>G17-G18+G19</f>
        <v>24549833.09</v>
      </c>
      <c r="H16" s="600">
        <f t="shared" ref="H16:H19" si="1">G16/F16*100</f>
        <v>106.87901570157017</v>
      </c>
      <c r="I16" s="420">
        <f>I17+I19</f>
        <v>25983987</v>
      </c>
      <c r="J16" s="420">
        <f>J17+J19</f>
        <v>24403894.91</v>
      </c>
      <c r="K16" s="600">
        <f t="shared" ref="K16:K19" si="2">J16/I16*100</f>
        <v>93.918977522579581</v>
      </c>
      <c r="L16" s="420">
        <f>L17+L19</f>
        <v>24403894.91</v>
      </c>
      <c r="M16" s="603"/>
    </row>
    <row r="17" spans="1:12" ht="25.8" customHeight="1">
      <c r="A17" s="421">
        <v>208100</v>
      </c>
      <c r="B17" s="422" t="s">
        <v>635</v>
      </c>
      <c r="C17" s="423">
        <f>F17+I17</f>
        <v>49253728</v>
      </c>
      <c r="D17" s="423">
        <f>G17+J17</f>
        <v>49253728</v>
      </c>
      <c r="E17" s="419">
        <f t="shared" si="0"/>
        <v>100</v>
      </c>
      <c r="F17" s="424">
        <v>47135800</v>
      </c>
      <c r="G17" s="424">
        <f t="shared" ref="G17:G18" si="3">F17</f>
        <v>47135800</v>
      </c>
      <c r="H17" s="600">
        <f t="shared" si="1"/>
        <v>100</v>
      </c>
      <c r="I17" s="424">
        <v>2117928</v>
      </c>
      <c r="J17" s="420">
        <f t="shared" ref="J17:J18" si="4">I17</f>
        <v>2117928</v>
      </c>
      <c r="K17" s="600">
        <f t="shared" si="2"/>
        <v>100</v>
      </c>
      <c r="L17" s="424">
        <v>2117928</v>
      </c>
    </row>
    <row r="18" spans="1:12" ht="25.2" customHeight="1">
      <c r="A18" s="421">
        <v>208200</v>
      </c>
      <c r="B18" s="422" t="s">
        <v>636</v>
      </c>
      <c r="C18" s="423">
        <f t="shared" ref="C18:C19" si="5">F18+I18</f>
        <v>300000</v>
      </c>
      <c r="D18" s="423">
        <f t="shared" ref="D18:D19" si="6">G18+J18</f>
        <v>300000</v>
      </c>
      <c r="E18" s="419">
        <f t="shared" si="0"/>
        <v>100</v>
      </c>
      <c r="F18" s="424">
        <v>300000</v>
      </c>
      <c r="G18" s="424">
        <f t="shared" si="3"/>
        <v>300000</v>
      </c>
      <c r="H18" s="600">
        <f t="shared" si="1"/>
        <v>100</v>
      </c>
      <c r="I18" s="424">
        <v>0</v>
      </c>
      <c r="J18" s="420">
        <f t="shared" si="4"/>
        <v>0</v>
      </c>
      <c r="K18" s="600">
        <v>0</v>
      </c>
      <c r="L18" s="424">
        <v>0</v>
      </c>
    </row>
    <row r="19" spans="1:12" ht="58.2" customHeight="1">
      <c r="A19" s="421">
        <v>208400</v>
      </c>
      <c r="B19" s="422" t="s">
        <v>637</v>
      </c>
      <c r="C19" s="423">
        <f t="shared" si="5"/>
        <v>0</v>
      </c>
      <c r="D19" s="423">
        <f t="shared" si="6"/>
        <v>0</v>
      </c>
      <c r="E19" s="419">
        <v>0</v>
      </c>
      <c r="F19" s="424">
        <v>-23866059</v>
      </c>
      <c r="G19" s="524">
        <v>-22285966.91</v>
      </c>
      <c r="H19" s="601">
        <f t="shared" si="1"/>
        <v>93.379333848122982</v>
      </c>
      <c r="I19" s="524">
        <v>23866059</v>
      </c>
      <c r="J19" s="524">
        <v>22285966.91</v>
      </c>
      <c r="K19" s="601">
        <f t="shared" si="2"/>
        <v>93.379333848122982</v>
      </c>
      <c r="L19" s="524">
        <v>22285966.91</v>
      </c>
    </row>
    <row r="20" spans="1:12" ht="28.8" customHeight="1">
      <c r="A20" s="425" t="s">
        <v>638</v>
      </c>
      <c r="B20" s="426" t="s">
        <v>639</v>
      </c>
      <c r="C20" s="419">
        <v>48953728</v>
      </c>
      <c r="D20" s="419">
        <f>D15</f>
        <v>48953728</v>
      </c>
      <c r="E20" s="419">
        <f t="shared" si="0"/>
        <v>100</v>
      </c>
      <c r="F20" s="419">
        <f>F15</f>
        <v>22969741</v>
      </c>
      <c r="G20" s="419">
        <f>G15</f>
        <v>24549833.09</v>
      </c>
      <c r="H20" s="602">
        <f>G20/F20*100</f>
        <v>106.87901570157017</v>
      </c>
      <c r="I20" s="419">
        <v>25983987</v>
      </c>
      <c r="J20" s="419">
        <f>J15</f>
        <v>24403894.91</v>
      </c>
      <c r="K20" s="602">
        <f>J20/I20*100</f>
        <v>93.918977522579581</v>
      </c>
      <c r="L20" s="419">
        <v>25983987</v>
      </c>
    </row>
    <row r="21" spans="1:12" ht="27" customHeight="1">
      <c r="A21" s="728" t="s">
        <v>640</v>
      </c>
      <c r="B21" s="729"/>
      <c r="C21" s="729"/>
      <c r="D21" s="729"/>
      <c r="E21" s="729"/>
      <c r="F21" s="729"/>
      <c r="G21" s="729"/>
      <c r="H21" s="729"/>
      <c r="I21" s="729"/>
      <c r="J21" s="729"/>
      <c r="K21" s="729"/>
      <c r="L21" s="730"/>
    </row>
    <row r="22" spans="1:12" ht="31.2">
      <c r="A22" s="417">
        <v>600000</v>
      </c>
      <c r="B22" s="418" t="s">
        <v>641</v>
      </c>
      <c r="C22" s="419">
        <v>48953728</v>
      </c>
      <c r="D22" s="419">
        <f>D23</f>
        <v>48953728</v>
      </c>
      <c r="E22" s="419">
        <f>D22/C22*100</f>
        <v>100</v>
      </c>
      <c r="F22" s="420">
        <f>F23</f>
        <v>22969741</v>
      </c>
      <c r="G22" s="420">
        <f>G23</f>
        <v>24549833.09</v>
      </c>
      <c r="H22" s="600">
        <f>G22/F22*100</f>
        <v>106.87901570157017</v>
      </c>
      <c r="I22" s="420">
        <f>I23</f>
        <v>25983987</v>
      </c>
      <c r="J22" s="420">
        <f>J23</f>
        <v>24403894.91</v>
      </c>
      <c r="K22" s="600">
        <f>J22/I22*100</f>
        <v>93.918977522579581</v>
      </c>
      <c r="L22" s="420">
        <f>L23</f>
        <v>24403894.91</v>
      </c>
    </row>
    <row r="23" spans="1:12" ht="24" customHeight="1">
      <c r="A23" s="417">
        <v>602000</v>
      </c>
      <c r="B23" s="418" t="s">
        <v>642</v>
      </c>
      <c r="C23" s="419">
        <f>F23+I23</f>
        <v>48953728</v>
      </c>
      <c r="D23" s="419">
        <f>G23+J23</f>
        <v>48953728</v>
      </c>
      <c r="E23" s="419">
        <f t="shared" ref="E23:E25" si="7">D23/C23*100</f>
        <v>100</v>
      </c>
      <c r="F23" s="420">
        <f>F24-F25+F26</f>
        <v>22969741</v>
      </c>
      <c r="G23" s="420">
        <f>G24-G25+G26</f>
        <v>24549833.09</v>
      </c>
      <c r="H23" s="600">
        <f t="shared" ref="H23:H26" si="8">G23/F23*100</f>
        <v>106.87901570157017</v>
      </c>
      <c r="I23" s="420">
        <f>I24+I26</f>
        <v>25983987</v>
      </c>
      <c r="J23" s="420">
        <f>J24+J26</f>
        <v>24403894.91</v>
      </c>
      <c r="K23" s="600">
        <f t="shared" ref="K23:K24" si="9">J23/I23*100</f>
        <v>93.918977522579581</v>
      </c>
      <c r="L23" s="420">
        <f>L24+L26</f>
        <v>24403894.91</v>
      </c>
    </row>
    <row r="24" spans="1:12" ht="19.2" customHeight="1">
      <c r="A24" s="421">
        <v>602100</v>
      </c>
      <c r="B24" s="422" t="s">
        <v>635</v>
      </c>
      <c r="C24" s="423">
        <f>F24+I24</f>
        <v>49253728</v>
      </c>
      <c r="D24" s="423">
        <f>G24+J24</f>
        <v>49253728</v>
      </c>
      <c r="E24" s="419">
        <f t="shared" si="7"/>
        <v>100</v>
      </c>
      <c r="F24" s="424">
        <v>47135800</v>
      </c>
      <c r="G24" s="424">
        <f t="shared" ref="G24:G25" si="10">F24</f>
        <v>47135800</v>
      </c>
      <c r="H24" s="600">
        <f t="shared" si="8"/>
        <v>100</v>
      </c>
      <c r="I24" s="424">
        <v>2117928</v>
      </c>
      <c r="J24" s="420">
        <f t="shared" ref="J24:J25" si="11">I24</f>
        <v>2117928</v>
      </c>
      <c r="K24" s="600">
        <f t="shared" si="9"/>
        <v>100</v>
      </c>
      <c r="L24" s="424">
        <v>2117928</v>
      </c>
    </row>
    <row r="25" spans="1:12" ht="23.4" customHeight="1">
      <c r="A25" s="421">
        <v>602200</v>
      </c>
      <c r="B25" s="422" t="s">
        <v>636</v>
      </c>
      <c r="C25" s="423">
        <f t="shared" ref="C25:C26" si="12">F25+I25</f>
        <v>300000</v>
      </c>
      <c r="D25" s="423">
        <f t="shared" ref="D25:D26" si="13">G25+J25</f>
        <v>300000</v>
      </c>
      <c r="E25" s="419">
        <f t="shared" si="7"/>
        <v>100</v>
      </c>
      <c r="F25" s="424">
        <v>300000</v>
      </c>
      <c r="G25" s="424">
        <f t="shared" si="10"/>
        <v>300000</v>
      </c>
      <c r="H25" s="600">
        <f t="shared" si="8"/>
        <v>100</v>
      </c>
      <c r="I25" s="424">
        <v>0</v>
      </c>
      <c r="J25" s="420">
        <f t="shared" si="11"/>
        <v>0</v>
      </c>
      <c r="K25" s="600">
        <v>0</v>
      </c>
      <c r="L25" s="424">
        <v>0</v>
      </c>
    </row>
    <row r="26" spans="1:12" ht="48.6" customHeight="1">
      <c r="A26" s="421">
        <v>602400</v>
      </c>
      <c r="B26" s="422" t="s">
        <v>637</v>
      </c>
      <c r="C26" s="423">
        <f t="shared" si="12"/>
        <v>0</v>
      </c>
      <c r="D26" s="423">
        <f t="shared" si="13"/>
        <v>0</v>
      </c>
      <c r="E26" s="419">
        <v>0</v>
      </c>
      <c r="F26" s="424">
        <v>-23866059</v>
      </c>
      <c r="G26" s="524">
        <v>-22285966.91</v>
      </c>
      <c r="H26" s="601">
        <f t="shared" si="8"/>
        <v>93.379333848122982</v>
      </c>
      <c r="I26" s="524">
        <v>23866059</v>
      </c>
      <c r="J26" s="524">
        <v>22285966.91</v>
      </c>
      <c r="K26" s="601">
        <f t="shared" ref="K26" si="14">J26/I26*100</f>
        <v>93.379333848122982</v>
      </c>
      <c r="L26" s="524">
        <v>22285966.91</v>
      </c>
    </row>
    <row r="27" spans="1:12" ht="28.2" customHeight="1">
      <c r="A27" s="425" t="s">
        <v>638</v>
      </c>
      <c r="B27" s="426" t="s">
        <v>639</v>
      </c>
      <c r="C27" s="419">
        <v>48953728</v>
      </c>
      <c r="D27" s="419">
        <f>D22</f>
        <v>48953728</v>
      </c>
      <c r="E27" s="419">
        <f t="shared" ref="E27" si="15">D27/C27*100</f>
        <v>100</v>
      </c>
      <c r="F27" s="419">
        <f>F22</f>
        <v>22969741</v>
      </c>
      <c r="G27" s="419">
        <f>G22</f>
        <v>24549833.09</v>
      </c>
      <c r="H27" s="602">
        <f>G27/F27*100</f>
        <v>106.87901570157017</v>
      </c>
      <c r="I27" s="419">
        <v>25983987</v>
      </c>
      <c r="J27" s="419">
        <f>J22</f>
        <v>24403894.91</v>
      </c>
      <c r="K27" s="602">
        <f>J27/I27*100</f>
        <v>93.918977522579581</v>
      </c>
      <c r="L27" s="419">
        <v>25983987</v>
      </c>
    </row>
    <row r="29" spans="1:12" ht="15.6">
      <c r="A29" s="427" t="s">
        <v>643</v>
      </c>
      <c r="B29" s="349"/>
      <c r="C29" s="349"/>
      <c r="D29" s="349"/>
      <c r="E29" s="349"/>
      <c r="I29" s="428" t="s">
        <v>623</v>
      </c>
      <c r="J29" s="428"/>
    </row>
    <row r="31" spans="1:12" ht="15.6">
      <c r="K31" s="428"/>
    </row>
  </sheetData>
  <mergeCells count="12">
    <mergeCell ref="A14:L14"/>
    <mergeCell ref="A21:L21"/>
    <mergeCell ref="C10:E11"/>
    <mergeCell ref="F10:H10"/>
    <mergeCell ref="A5:L5"/>
    <mergeCell ref="A6:L6"/>
    <mergeCell ref="A8:B8"/>
    <mergeCell ref="A9:B9"/>
    <mergeCell ref="A10:A12"/>
    <mergeCell ref="B10:B12"/>
    <mergeCell ref="I10:L10"/>
    <mergeCell ref="L11:L12"/>
  </mergeCells>
  <pageMargins left="0.36" right="0.23622047244094491" top="0.46" bottom="0.31496062992125984" header="0.31496062992125984" footer="0.31496062992125984"/>
  <pageSetup paperSize="9" scale="80" orientation="landscape" verticalDpi="0" r:id="rId1"/>
</worksheet>
</file>

<file path=xl/worksheets/sheet4.xml><?xml version="1.0" encoding="utf-8"?>
<worksheet xmlns="http://schemas.openxmlformats.org/spreadsheetml/2006/main" xmlns:r="http://schemas.openxmlformats.org/officeDocument/2006/relationships">
  <dimension ref="A1:F113"/>
  <sheetViews>
    <sheetView zoomScale="60" zoomScaleNormal="60" workbookViewId="0">
      <selection activeCell="C4" sqref="C4"/>
    </sheetView>
  </sheetViews>
  <sheetFormatPr defaultRowHeight="18"/>
  <cols>
    <col min="1" max="1" width="18.33203125" customWidth="1"/>
    <col min="2" max="2" width="22.44140625" customWidth="1"/>
    <col min="3" max="3" width="50.21875" customWidth="1"/>
    <col min="4" max="4" width="19.88671875" customWidth="1"/>
    <col min="5" max="5" width="19.6640625" style="404" customWidth="1"/>
    <col min="6" max="6" width="14.5546875" style="402" customWidth="1"/>
  </cols>
  <sheetData>
    <row r="1" spans="1:6">
      <c r="A1" s="348"/>
      <c r="B1" s="348"/>
      <c r="C1" s="604" t="s">
        <v>543</v>
      </c>
      <c r="D1" s="611"/>
    </row>
    <row r="2" spans="1:6">
      <c r="A2" s="348"/>
      <c r="B2" s="348"/>
      <c r="C2" s="604" t="s">
        <v>544</v>
      </c>
      <c r="D2" s="611"/>
    </row>
    <row r="3" spans="1:6">
      <c r="A3" s="348"/>
      <c r="B3" s="348"/>
      <c r="C3" s="604" t="s">
        <v>869</v>
      </c>
      <c r="D3" s="611"/>
    </row>
    <row r="4" spans="1:6">
      <c r="A4" s="348"/>
      <c r="B4" s="348"/>
      <c r="C4" s="604"/>
    </row>
    <row r="5" spans="1:6" ht="26.4" customHeight="1">
      <c r="A5" s="747" t="s">
        <v>847</v>
      </c>
      <c r="B5" s="747"/>
      <c r="C5" s="747"/>
      <c r="D5" s="747"/>
      <c r="E5" s="747"/>
      <c r="F5" s="747"/>
    </row>
    <row r="6" spans="1:6" ht="18.75" customHeight="1">
      <c r="A6" s="748" t="s">
        <v>852</v>
      </c>
      <c r="B6" s="748"/>
      <c r="C6" s="748"/>
      <c r="D6" s="748"/>
      <c r="E6" s="748"/>
      <c r="F6" s="748"/>
    </row>
    <row r="7" spans="1:6" ht="6.6" customHeight="1">
      <c r="A7" s="349"/>
      <c r="B7" s="349"/>
      <c r="C7" s="349"/>
      <c r="D7" s="349"/>
    </row>
    <row r="8" spans="1:6">
      <c r="A8" s="349"/>
      <c r="B8" s="786">
        <v>1354000000</v>
      </c>
      <c r="C8" s="786"/>
      <c r="D8" s="349"/>
    </row>
    <row r="9" spans="1:6">
      <c r="A9" s="349"/>
      <c r="B9" s="787" t="s">
        <v>545</v>
      </c>
      <c r="C9" s="787"/>
      <c r="D9" s="349"/>
    </row>
    <row r="10" spans="1:6">
      <c r="A10" s="775" t="s">
        <v>546</v>
      </c>
      <c r="B10" s="775"/>
      <c r="C10" s="775"/>
      <c r="D10" s="775"/>
    </row>
    <row r="11" spans="1:6">
      <c r="A11" s="348"/>
      <c r="B11" s="348"/>
      <c r="C11" s="348"/>
      <c r="F11" s="350" t="s">
        <v>547</v>
      </c>
    </row>
    <row r="12" spans="1:6" ht="70.2" customHeight="1">
      <c r="A12" s="351" t="s">
        <v>548</v>
      </c>
      <c r="B12" s="788" t="s">
        <v>549</v>
      </c>
      <c r="C12" s="789"/>
      <c r="D12" s="366" t="s">
        <v>626</v>
      </c>
      <c r="E12" s="401" t="s">
        <v>624</v>
      </c>
      <c r="F12" s="401" t="s">
        <v>625</v>
      </c>
    </row>
    <row r="13" spans="1:6">
      <c r="A13" s="353">
        <v>1</v>
      </c>
      <c r="B13" s="750">
        <v>2</v>
      </c>
      <c r="C13" s="751"/>
      <c r="D13" s="367">
        <v>3</v>
      </c>
      <c r="E13" s="401">
        <v>4</v>
      </c>
      <c r="F13" s="401">
        <v>5</v>
      </c>
    </row>
    <row r="14" spans="1:6" ht="18" customHeight="1">
      <c r="A14" s="752" t="s">
        <v>550</v>
      </c>
      <c r="B14" s="753"/>
      <c r="C14" s="753"/>
      <c r="D14" s="753"/>
      <c r="E14" s="753"/>
      <c r="F14" s="754"/>
    </row>
    <row r="15" spans="1:6" ht="107.4" customHeight="1">
      <c r="A15" s="354">
        <v>41021400</v>
      </c>
      <c r="B15" s="784" t="s">
        <v>551</v>
      </c>
      <c r="C15" s="785"/>
      <c r="D15" s="392">
        <v>484400</v>
      </c>
      <c r="E15" s="405">
        <v>484400</v>
      </c>
      <c r="F15" s="403">
        <f>E15/D15*100</f>
        <v>100</v>
      </c>
    </row>
    <row r="16" spans="1:6" ht="18" customHeight="1">
      <c r="A16" s="355">
        <v>9900000000</v>
      </c>
      <c r="B16" s="755" t="s">
        <v>552</v>
      </c>
      <c r="C16" s="756"/>
      <c r="D16" s="393">
        <f>D15</f>
        <v>484400</v>
      </c>
      <c r="E16" s="395">
        <f>E15</f>
        <v>484400</v>
      </c>
      <c r="F16" s="409">
        <f t="shared" ref="F16:F79" si="0">E16/D16*100</f>
        <v>100</v>
      </c>
    </row>
    <row r="17" spans="1:6" ht="36" customHeight="1">
      <c r="A17" s="353">
        <v>41033900</v>
      </c>
      <c r="B17" s="750" t="s">
        <v>553</v>
      </c>
      <c r="C17" s="751"/>
      <c r="D17" s="394">
        <v>120414600</v>
      </c>
      <c r="E17" s="405">
        <v>120414600</v>
      </c>
      <c r="F17" s="403">
        <f t="shared" si="0"/>
        <v>100</v>
      </c>
    </row>
    <row r="18" spans="1:6" ht="18" customHeight="1">
      <c r="A18" s="355">
        <v>9900000000</v>
      </c>
      <c r="B18" s="755" t="s">
        <v>552</v>
      </c>
      <c r="C18" s="756"/>
      <c r="D18" s="395">
        <f>D17</f>
        <v>120414600</v>
      </c>
      <c r="E18" s="395">
        <f>E17</f>
        <v>120414600</v>
      </c>
      <c r="F18" s="409">
        <f t="shared" si="0"/>
        <v>100</v>
      </c>
    </row>
    <row r="19" spans="1:6" ht="72.599999999999994" customHeight="1">
      <c r="A19" s="354">
        <v>41033300</v>
      </c>
      <c r="B19" s="777" t="s">
        <v>531</v>
      </c>
      <c r="C19" s="778"/>
      <c r="D19" s="394">
        <f>2310300+606000</f>
        <v>2916300</v>
      </c>
      <c r="E19" s="405">
        <v>1570593.59</v>
      </c>
      <c r="F19" s="403">
        <f t="shared" si="0"/>
        <v>53.855693515756265</v>
      </c>
    </row>
    <row r="20" spans="1:6" ht="18" customHeight="1">
      <c r="A20" s="355">
        <v>9900000000</v>
      </c>
      <c r="B20" s="755" t="s">
        <v>552</v>
      </c>
      <c r="C20" s="756"/>
      <c r="D20" s="395">
        <f>D19</f>
        <v>2916300</v>
      </c>
      <c r="E20" s="395">
        <f>E19</f>
        <v>1570593.59</v>
      </c>
      <c r="F20" s="409">
        <f t="shared" si="0"/>
        <v>53.855693515756265</v>
      </c>
    </row>
    <row r="21" spans="1:6" ht="58.2" customHeight="1">
      <c r="A21" s="353">
        <v>41051000</v>
      </c>
      <c r="B21" s="750" t="s">
        <v>343</v>
      </c>
      <c r="C21" s="751"/>
      <c r="D21" s="394">
        <f>1674000-343400</f>
        <v>1330600</v>
      </c>
      <c r="E21" s="405">
        <v>1329370.01</v>
      </c>
      <c r="F21" s="403">
        <f t="shared" si="0"/>
        <v>99.90756125056366</v>
      </c>
    </row>
    <row r="22" spans="1:6" ht="18" customHeight="1">
      <c r="A22" s="355">
        <v>1310000000</v>
      </c>
      <c r="B22" s="755" t="s">
        <v>554</v>
      </c>
      <c r="C22" s="756"/>
      <c r="D22" s="395">
        <f>D21</f>
        <v>1330600</v>
      </c>
      <c r="E22" s="395">
        <f>E21</f>
        <v>1329370.01</v>
      </c>
      <c r="F22" s="409">
        <f t="shared" si="0"/>
        <v>99.90756125056366</v>
      </c>
    </row>
    <row r="23" spans="1:6" ht="91.8" customHeight="1">
      <c r="A23" s="353">
        <v>41051200</v>
      </c>
      <c r="B23" s="750" t="s">
        <v>286</v>
      </c>
      <c r="C23" s="751"/>
      <c r="D23" s="394">
        <v>254504</v>
      </c>
      <c r="E23" s="405">
        <v>254327.01</v>
      </c>
      <c r="F23" s="403">
        <f t="shared" si="0"/>
        <v>99.930456888693314</v>
      </c>
    </row>
    <row r="24" spans="1:6" ht="18" customHeight="1">
      <c r="A24" s="355">
        <v>1310000000</v>
      </c>
      <c r="B24" s="755" t="s">
        <v>554</v>
      </c>
      <c r="C24" s="756"/>
      <c r="D24" s="395">
        <v>254504</v>
      </c>
      <c r="E24" s="395">
        <v>254504</v>
      </c>
      <c r="F24" s="409">
        <f t="shared" si="0"/>
        <v>100</v>
      </c>
    </row>
    <row r="25" spans="1:6" ht="77.400000000000006" customHeight="1">
      <c r="A25" s="353">
        <v>41051400</v>
      </c>
      <c r="B25" s="750" t="s">
        <v>555</v>
      </c>
      <c r="C25" s="751"/>
      <c r="D25" s="394">
        <v>1586369</v>
      </c>
      <c r="E25" s="405">
        <v>1586369</v>
      </c>
      <c r="F25" s="403">
        <f t="shared" si="0"/>
        <v>100</v>
      </c>
    </row>
    <row r="26" spans="1:6" ht="18" customHeight="1">
      <c r="A26" s="355">
        <v>1310000000</v>
      </c>
      <c r="B26" s="755" t="s">
        <v>554</v>
      </c>
      <c r="C26" s="756"/>
      <c r="D26" s="395">
        <f>D25</f>
        <v>1586369</v>
      </c>
      <c r="E26" s="395">
        <f>E25</f>
        <v>1586369</v>
      </c>
      <c r="F26" s="409">
        <f t="shared" si="0"/>
        <v>100</v>
      </c>
    </row>
    <row r="27" spans="1:6" ht="73.2" customHeight="1">
      <c r="A27" s="358">
        <v>41051700</v>
      </c>
      <c r="B27" s="781" t="s">
        <v>509</v>
      </c>
      <c r="C27" s="782"/>
      <c r="D27" s="394">
        <v>116000</v>
      </c>
      <c r="E27" s="405">
        <v>112368.2</v>
      </c>
      <c r="F27" s="403">
        <f t="shared" si="0"/>
        <v>96.869137931034473</v>
      </c>
    </row>
    <row r="28" spans="1:6" ht="18" customHeight="1">
      <c r="A28" s="355">
        <v>1310000000</v>
      </c>
      <c r="B28" s="755" t="s">
        <v>554</v>
      </c>
      <c r="C28" s="756"/>
      <c r="D28" s="395">
        <f>D27</f>
        <v>116000</v>
      </c>
      <c r="E28" s="395">
        <f>E27</f>
        <v>112368.2</v>
      </c>
      <c r="F28" s="409">
        <f t="shared" si="0"/>
        <v>96.869137931034473</v>
      </c>
    </row>
    <row r="29" spans="1:6" ht="72.599999999999994" customHeight="1">
      <c r="A29" s="765">
        <v>41053900</v>
      </c>
      <c r="B29" s="763" t="s">
        <v>556</v>
      </c>
      <c r="C29" s="764"/>
      <c r="D29" s="394">
        <v>151020</v>
      </c>
      <c r="E29" s="405">
        <v>150099.6</v>
      </c>
      <c r="F29" s="403">
        <f t="shared" si="0"/>
        <v>99.390544298768376</v>
      </c>
    </row>
    <row r="30" spans="1:6" ht="93" customHeight="1">
      <c r="A30" s="783"/>
      <c r="B30" s="763" t="s">
        <v>557</v>
      </c>
      <c r="C30" s="764"/>
      <c r="D30" s="394">
        <v>217218</v>
      </c>
      <c r="E30" s="394">
        <v>217218</v>
      </c>
      <c r="F30" s="403">
        <f t="shared" si="0"/>
        <v>100</v>
      </c>
    </row>
    <row r="31" spans="1:6" ht="18" customHeight="1">
      <c r="A31" s="355">
        <v>1310000000</v>
      </c>
      <c r="B31" s="755" t="s">
        <v>554</v>
      </c>
      <c r="C31" s="756"/>
      <c r="D31" s="395">
        <f>D29+D30</f>
        <v>368238</v>
      </c>
      <c r="E31" s="395">
        <f>E29+E30</f>
        <v>367317.6</v>
      </c>
      <c r="F31" s="403">
        <f t="shared" si="0"/>
        <v>99.750052954882435</v>
      </c>
    </row>
    <row r="32" spans="1:6" ht="55.35" customHeight="1">
      <c r="A32" s="355">
        <v>41053900</v>
      </c>
      <c r="B32" s="763" t="s">
        <v>558</v>
      </c>
      <c r="C32" s="764"/>
      <c r="D32" s="394">
        <v>83000</v>
      </c>
      <c r="E32" s="405">
        <v>65542</v>
      </c>
      <c r="F32" s="403">
        <f t="shared" si="0"/>
        <v>78.966265060240957</v>
      </c>
    </row>
    <row r="33" spans="1:6" ht="18" customHeight="1">
      <c r="A33" s="355">
        <v>1353800000</v>
      </c>
      <c r="B33" s="755" t="s">
        <v>559</v>
      </c>
      <c r="C33" s="756"/>
      <c r="D33" s="395">
        <f>D32</f>
        <v>83000</v>
      </c>
      <c r="E33" s="395">
        <f>E32</f>
        <v>65542</v>
      </c>
      <c r="F33" s="409">
        <f t="shared" si="0"/>
        <v>78.966265060240957</v>
      </c>
    </row>
    <row r="34" spans="1:6" ht="69.599999999999994" customHeight="1">
      <c r="A34" s="359">
        <v>41057700</v>
      </c>
      <c r="B34" s="763" t="s">
        <v>560</v>
      </c>
      <c r="C34" s="764"/>
      <c r="D34" s="395">
        <v>166320</v>
      </c>
      <c r="E34" s="405">
        <v>166248.4</v>
      </c>
      <c r="F34" s="403">
        <f t="shared" si="0"/>
        <v>99.956950456950452</v>
      </c>
    </row>
    <row r="35" spans="1:6" ht="18" customHeight="1">
      <c r="A35" s="355">
        <v>1310000000</v>
      </c>
      <c r="B35" s="755" t="s">
        <v>554</v>
      </c>
      <c r="C35" s="756"/>
      <c r="D35" s="395">
        <f>D34</f>
        <v>166320</v>
      </c>
      <c r="E35" s="395">
        <f>E34</f>
        <v>166248.4</v>
      </c>
      <c r="F35" s="409">
        <f t="shared" si="0"/>
        <v>99.956950456950452</v>
      </c>
    </row>
    <row r="36" spans="1:6" ht="34.200000000000003" customHeight="1">
      <c r="A36" s="360">
        <v>41040400</v>
      </c>
      <c r="B36" s="779" t="s">
        <v>561</v>
      </c>
      <c r="C36" s="780"/>
      <c r="D36" s="394">
        <v>4316580</v>
      </c>
      <c r="E36" s="394">
        <v>4316580</v>
      </c>
      <c r="F36" s="403">
        <f t="shared" si="0"/>
        <v>100</v>
      </c>
    </row>
    <row r="37" spans="1:6" ht="18" customHeight="1">
      <c r="A37" s="355">
        <v>1310000000</v>
      </c>
      <c r="B37" s="755" t="s">
        <v>554</v>
      </c>
      <c r="C37" s="756"/>
      <c r="D37" s="395">
        <f>D36</f>
        <v>4316580</v>
      </c>
      <c r="E37" s="395">
        <f>E36</f>
        <v>4316580</v>
      </c>
      <c r="F37" s="409">
        <f t="shared" si="0"/>
        <v>100</v>
      </c>
    </row>
    <row r="38" spans="1:6" ht="22.2" customHeight="1">
      <c r="A38" s="752" t="s">
        <v>562</v>
      </c>
      <c r="B38" s="753"/>
      <c r="C38" s="753"/>
      <c r="D38" s="753"/>
      <c r="E38" s="753"/>
      <c r="F38" s="754"/>
    </row>
    <row r="39" spans="1:6" ht="64.2" customHeight="1">
      <c r="A39" s="354">
        <v>41033300</v>
      </c>
      <c r="B39" s="777" t="s">
        <v>531</v>
      </c>
      <c r="C39" s="778"/>
      <c r="D39" s="394">
        <v>3408400</v>
      </c>
      <c r="E39" s="394">
        <v>3408400</v>
      </c>
      <c r="F39" s="403">
        <f t="shared" si="0"/>
        <v>100</v>
      </c>
    </row>
    <row r="40" spans="1:6" ht="22.2" customHeight="1">
      <c r="A40" s="355">
        <v>9900000000</v>
      </c>
      <c r="B40" s="755" t="s">
        <v>552</v>
      </c>
      <c r="C40" s="756"/>
      <c r="D40" s="395">
        <f>D39</f>
        <v>3408400</v>
      </c>
      <c r="E40" s="395">
        <f>E39</f>
        <v>3408400</v>
      </c>
      <c r="F40" s="403">
        <f t="shared" si="0"/>
        <v>100</v>
      </c>
    </row>
    <row r="41" spans="1:6" ht="58.8" customHeight="1">
      <c r="A41" s="353">
        <v>41037400</v>
      </c>
      <c r="B41" s="750" t="s">
        <v>533</v>
      </c>
      <c r="C41" s="751"/>
      <c r="D41" s="394">
        <v>81400</v>
      </c>
      <c r="E41" s="394">
        <v>81400</v>
      </c>
      <c r="F41" s="403">
        <f t="shared" si="0"/>
        <v>100</v>
      </c>
    </row>
    <row r="42" spans="1:6" ht="22.2" customHeight="1">
      <c r="A42" s="355">
        <v>9900000000</v>
      </c>
      <c r="B42" s="755" t="s">
        <v>552</v>
      </c>
      <c r="C42" s="756"/>
      <c r="D42" s="395">
        <f>D41</f>
        <v>81400</v>
      </c>
      <c r="E42" s="395">
        <f>E41</f>
        <v>81400</v>
      </c>
      <c r="F42" s="409">
        <f t="shared" si="0"/>
        <v>100</v>
      </c>
    </row>
    <row r="43" spans="1:6" ht="94.8" customHeight="1">
      <c r="A43" s="765">
        <v>41051100</v>
      </c>
      <c r="B43" s="763" t="s">
        <v>563</v>
      </c>
      <c r="C43" s="764"/>
      <c r="D43" s="394">
        <v>1349122</v>
      </c>
      <c r="E43" s="523">
        <v>1348983</v>
      </c>
      <c r="F43" s="403">
        <f t="shared" si="0"/>
        <v>99.989697002939693</v>
      </c>
    </row>
    <row r="44" spans="1:6" ht="90.6" customHeight="1">
      <c r="A44" s="766"/>
      <c r="B44" s="763" t="s">
        <v>564</v>
      </c>
      <c r="C44" s="764"/>
      <c r="D44" s="394">
        <v>840000</v>
      </c>
      <c r="E44" s="523">
        <v>839999.22</v>
      </c>
      <c r="F44" s="403">
        <f t="shared" si="0"/>
        <v>99.99990714285714</v>
      </c>
    </row>
    <row r="45" spans="1:6" ht="22.2" customHeight="1">
      <c r="A45" s="355">
        <v>1310000000</v>
      </c>
      <c r="B45" s="755" t="s">
        <v>554</v>
      </c>
      <c r="C45" s="756"/>
      <c r="D45" s="395">
        <f>SUM(D43:D44)</f>
        <v>2189122</v>
      </c>
      <c r="E45" s="395">
        <f>SUM(E43:E44)</f>
        <v>2188982.2199999997</v>
      </c>
      <c r="F45" s="409">
        <f t="shared" si="0"/>
        <v>99.993614791683598</v>
      </c>
    </row>
    <row r="46" spans="1:6" ht="83.4" customHeight="1">
      <c r="A46" s="359">
        <v>41053900</v>
      </c>
      <c r="B46" s="763" t="s">
        <v>565</v>
      </c>
      <c r="C46" s="764"/>
      <c r="D46" s="394">
        <v>596866</v>
      </c>
      <c r="E46" s="405">
        <v>131390.39999999999</v>
      </c>
      <c r="F46" s="403">
        <f t="shared" si="0"/>
        <v>22.013383238448831</v>
      </c>
    </row>
    <row r="47" spans="1:6" ht="21.6" customHeight="1">
      <c r="A47" s="355">
        <v>1310000000</v>
      </c>
      <c r="B47" s="755" t="s">
        <v>554</v>
      </c>
      <c r="C47" s="756"/>
      <c r="D47" s="395">
        <f>D46</f>
        <v>596866</v>
      </c>
      <c r="E47" s="395">
        <f>E46</f>
        <v>131390.39999999999</v>
      </c>
      <c r="F47" s="409">
        <f t="shared" si="0"/>
        <v>22.013383238448831</v>
      </c>
    </row>
    <row r="48" spans="1:6" ht="18" customHeight="1">
      <c r="A48" s="773" t="s">
        <v>566</v>
      </c>
      <c r="B48" s="774"/>
      <c r="C48" s="361" t="s">
        <v>567</v>
      </c>
      <c r="D48" s="393">
        <f>SUM(D49:D50)</f>
        <v>138312699</v>
      </c>
      <c r="E48" s="393">
        <f>SUM(E49:E50)</f>
        <v>136477888.43000001</v>
      </c>
      <c r="F48" s="409">
        <f t="shared" si="0"/>
        <v>98.673433037410405</v>
      </c>
    </row>
    <row r="49" spans="1:6" ht="17.399999999999999">
      <c r="A49" s="773" t="s">
        <v>566</v>
      </c>
      <c r="B49" s="774"/>
      <c r="C49" s="361" t="s">
        <v>568</v>
      </c>
      <c r="D49" s="393">
        <f>D17+D21+D27+D29+D34+D36+D23+D19+D25+D30+D32+D15</f>
        <v>132036911</v>
      </c>
      <c r="E49" s="393">
        <f>E17+E21+E27+E29+E34+E36+E23+E19+E25+E30+E32+E15</f>
        <v>130667715.81000002</v>
      </c>
      <c r="F49" s="409">
        <f t="shared" si="0"/>
        <v>98.963020885879416</v>
      </c>
    </row>
    <row r="50" spans="1:6" ht="17.399999999999999">
      <c r="A50" s="773" t="s">
        <v>566</v>
      </c>
      <c r="B50" s="774"/>
      <c r="C50" s="361" t="s">
        <v>569</v>
      </c>
      <c r="D50" s="393">
        <f>D46+D45+D39+D41</f>
        <v>6275788</v>
      </c>
      <c r="E50" s="393">
        <f>E46+E45+E39+E41</f>
        <v>5810172.6199999992</v>
      </c>
      <c r="F50" s="409">
        <f t="shared" si="0"/>
        <v>92.580766271900828</v>
      </c>
    </row>
    <row r="51" spans="1:6">
      <c r="A51" s="362"/>
      <c r="B51" s="362"/>
      <c r="C51" s="363"/>
      <c r="D51" s="364"/>
      <c r="E51" s="406"/>
      <c r="F51" s="407"/>
    </row>
    <row r="52" spans="1:6" ht="18" customHeight="1">
      <c r="A52" s="775" t="s">
        <v>570</v>
      </c>
      <c r="B52" s="775"/>
      <c r="C52" s="775"/>
      <c r="D52" s="775"/>
      <c r="E52" s="406"/>
      <c r="F52" s="407"/>
    </row>
    <row r="53" spans="1:6" ht="18" customHeight="1">
      <c r="A53" s="348"/>
      <c r="B53" s="348"/>
      <c r="C53" s="348"/>
      <c r="E53" s="406"/>
      <c r="F53" s="350" t="s">
        <v>547</v>
      </c>
    </row>
    <row r="54" spans="1:6" ht="91.8" customHeight="1">
      <c r="A54" s="365" t="s">
        <v>571</v>
      </c>
      <c r="B54" s="365" t="s">
        <v>572</v>
      </c>
      <c r="C54" s="352" t="s">
        <v>573</v>
      </c>
      <c r="D54" s="366" t="s">
        <v>626</v>
      </c>
      <c r="E54" s="401" t="s">
        <v>624</v>
      </c>
      <c r="F54" s="401" t="s">
        <v>625</v>
      </c>
    </row>
    <row r="55" spans="1:6">
      <c r="A55" s="353">
        <v>1</v>
      </c>
      <c r="B55" s="367">
        <v>2</v>
      </c>
      <c r="C55" s="367">
        <v>3</v>
      </c>
      <c r="D55" s="367">
        <v>4</v>
      </c>
      <c r="E55" s="408">
        <v>5</v>
      </c>
      <c r="F55" s="408">
        <v>6</v>
      </c>
    </row>
    <row r="56" spans="1:6" ht="18" customHeight="1">
      <c r="A56" s="752" t="s">
        <v>574</v>
      </c>
      <c r="B56" s="753"/>
      <c r="C56" s="753"/>
      <c r="D56" s="753"/>
      <c r="E56" s="405"/>
      <c r="F56" s="403"/>
    </row>
    <row r="57" spans="1:6" ht="144.6" customHeight="1">
      <c r="A57" s="776" t="s">
        <v>575</v>
      </c>
      <c r="B57" s="776" t="s">
        <v>470</v>
      </c>
      <c r="C57" s="355" t="s">
        <v>576</v>
      </c>
      <c r="D57" s="396">
        <f>SUM(D59:D71)</f>
        <v>7650000</v>
      </c>
      <c r="E57" s="396">
        <f>SUM(E59:E71)</f>
        <v>7650000</v>
      </c>
      <c r="F57" s="409">
        <f t="shared" si="0"/>
        <v>100</v>
      </c>
    </row>
    <row r="58" spans="1:6" ht="18" customHeight="1">
      <c r="A58" s="776"/>
      <c r="B58" s="776"/>
      <c r="C58" s="368" t="s">
        <v>577</v>
      </c>
      <c r="D58" s="397"/>
      <c r="E58" s="405"/>
      <c r="F58" s="403"/>
    </row>
    <row r="59" spans="1:6" ht="18" customHeight="1">
      <c r="A59" s="776"/>
      <c r="B59" s="776"/>
      <c r="C59" s="369" t="s">
        <v>578</v>
      </c>
      <c r="D59" s="398">
        <v>400000</v>
      </c>
      <c r="E59" s="405">
        <f>D59</f>
        <v>400000</v>
      </c>
      <c r="F59" s="403">
        <f t="shared" si="0"/>
        <v>100</v>
      </c>
    </row>
    <row r="60" spans="1:6" ht="19.8" customHeight="1">
      <c r="A60" s="776"/>
      <c r="B60" s="776"/>
      <c r="C60" s="370" t="s">
        <v>579</v>
      </c>
      <c r="D60" s="399">
        <v>1800000</v>
      </c>
      <c r="E60" s="405">
        <f t="shared" ref="E60:E71" si="1">D60</f>
        <v>1800000</v>
      </c>
      <c r="F60" s="403">
        <f t="shared" si="0"/>
        <v>100</v>
      </c>
    </row>
    <row r="61" spans="1:6" ht="16.8" customHeight="1">
      <c r="A61" s="776"/>
      <c r="B61" s="776"/>
      <c r="C61" s="370" t="s">
        <v>580</v>
      </c>
      <c r="D61" s="399">
        <v>400000</v>
      </c>
      <c r="E61" s="405">
        <f t="shared" si="1"/>
        <v>400000</v>
      </c>
      <c r="F61" s="403">
        <f t="shared" si="0"/>
        <v>100</v>
      </c>
    </row>
    <row r="62" spans="1:6" ht="18" customHeight="1">
      <c r="A62" s="776"/>
      <c r="B62" s="776"/>
      <c r="C62" s="370" t="s">
        <v>581</v>
      </c>
      <c r="D62" s="399">
        <v>1100000</v>
      </c>
      <c r="E62" s="405">
        <f t="shared" si="1"/>
        <v>1100000</v>
      </c>
      <c r="F62" s="403">
        <f t="shared" si="0"/>
        <v>100</v>
      </c>
    </row>
    <row r="63" spans="1:6" ht="18" customHeight="1">
      <c r="A63" s="776"/>
      <c r="B63" s="776"/>
      <c r="C63" s="370" t="s">
        <v>582</v>
      </c>
      <c r="D63" s="399">
        <v>600000</v>
      </c>
      <c r="E63" s="405">
        <f t="shared" si="1"/>
        <v>600000</v>
      </c>
      <c r="F63" s="403">
        <f t="shared" si="0"/>
        <v>100</v>
      </c>
    </row>
    <row r="64" spans="1:6" ht="18" customHeight="1">
      <c r="A64" s="776"/>
      <c r="B64" s="776"/>
      <c r="C64" s="370" t="s">
        <v>583</v>
      </c>
      <c r="D64" s="399">
        <v>800000</v>
      </c>
      <c r="E64" s="405">
        <f t="shared" si="1"/>
        <v>800000</v>
      </c>
      <c r="F64" s="403">
        <f t="shared" si="0"/>
        <v>100</v>
      </c>
    </row>
    <row r="65" spans="1:6" ht="18" customHeight="1">
      <c r="A65" s="776"/>
      <c r="B65" s="776"/>
      <c r="C65" s="370" t="s">
        <v>584</v>
      </c>
      <c r="D65" s="399">
        <v>200000</v>
      </c>
      <c r="E65" s="405">
        <f t="shared" si="1"/>
        <v>200000</v>
      </c>
      <c r="F65" s="403">
        <f t="shared" si="0"/>
        <v>100</v>
      </c>
    </row>
    <row r="66" spans="1:6" ht="18" customHeight="1">
      <c r="A66" s="776"/>
      <c r="B66" s="776"/>
      <c r="C66" s="370" t="s">
        <v>585</v>
      </c>
      <c r="D66" s="399">
        <v>200000</v>
      </c>
      <c r="E66" s="405">
        <f t="shared" si="1"/>
        <v>200000</v>
      </c>
      <c r="F66" s="403">
        <f t="shared" si="0"/>
        <v>100</v>
      </c>
    </row>
    <row r="67" spans="1:6" ht="18" customHeight="1">
      <c r="A67" s="776"/>
      <c r="B67" s="776"/>
      <c r="C67" s="370" t="s">
        <v>586</v>
      </c>
      <c r="D67" s="399">
        <v>600000</v>
      </c>
      <c r="E67" s="405">
        <f t="shared" si="1"/>
        <v>600000</v>
      </c>
      <c r="F67" s="403">
        <f t="shared" si="0"/>
        <v>100</v>
      </c>
    </row>
    <row r="68" spans="1:6" ht="18" customHeight="1">
      <c r="A68" s="776"/>
      <c r="B68" s="776"/>
      <c r="C68" s="370" t="s">
        <v>587</v>
      </c>
      <c r="D68" s="399">
        <v>300000</v>
      </c>
      <c r="E68" s="405">
        <f t="shared" si="1"/>
        <v>300000</v>
      </c>
      <c r="F68" s="403">
        <f t="shared" si="0"/>
        <v>100</v>
      </c>
    </row>
    <row r="69" spans="1:6" ht="18" customHeight="1">
      <c r="A69" s="776"/>
      <c r="B69" s="776"/>
      <c r="C69" s="370" t="s">
        <v>588</v>
      </c>
      <c r="D69" s="399">
        <v>500000</v>
      </c>
      <c r="E69" s="405">
        <f t="shared" si="1"/>
        <v>500000</v>
      </c>
      <c r="F69" s="403">
        <f t="shared" si="0"/>
        <v>100</v>
      </c>
    </row>
    <row r="70" spans="1:6" ht="18" customHeight="1">
      <c r="A70" s="776"/>
      <c r="B70" s="776"/>
      <c r="C70" s="370" t="s">
        <v>589</v>
      </c>
      <c r="D70" s="399">
        <v>300000</v>
      </c>
      <c r="E70" s="405">
        <f t="shared" si="1"/>
        <v>300000</v>
      </c>
      <c r="F70" s="403">
        <f t="shared" si="0"/>
        <v>100</v>
      </c>
    </row>
    <row r="71" spans="1:6" ht="18" customHeight="1">
      <c r="A71" s="776"/>
      <c r="B71" s="776"/>
      <c r="C71" s="370" t="s">
        <v>590</v>
      </c>
      <c r="D71" s="399">
        <v>450000</v>
      </c>
      <c r="E71" s="405">
        <f t="shared" si="1"/>
        <v>450000</v>
      </c>
      <c r="F71" s="403">
        <f t="shared" si="0"/>
        <v>100</v>
      </c>
    </row>
    <row r="72" spans="1:6" ht="18" customHeight="1">
      <c r="A72" s="355">
        <v>1310000000</v>
      </c>
      <c r="B72" s="755" t="s">
        <v>554</v>
      </c>
      <c r="C72" s="756"/>
      <c r="D72" s="391">
        <f>D57</f>
        <v>7650000</v>
      </c>
      <c r="E72" s="391">
        <f>E57</f>
        <v>7650000</v>
      </c>
      <c r="F72" s="409">
        <f t="shared" si="0"/>
        <v>100</v>
      </c>
    </row>
    <row r="73" spans="1:6" ht="24" customHeight="1">
      <c r="A73" s="769">
        <v>3719770</v>
      </c>
      <c r="B73" s="772">
        <v>9770</v>
      </c>
      <c r="C73" s="371" t="s">
        <v>591</v>
      </c>
      <c r="D73" s="395">
        <f>D75+D76+D77</f>
        <v>340000</v>
      </c>
      <c r="E73" s="395">
        <f>E75+E76+E77</f>
        <v>339220.6</v>
      </c>
      <c r="F73" s="409">
        <f t="shared" si="0"/>
        <v>99.770764705882343</v>
      </c>
    </row>
    <row r="74" spans="1:6" ht="18" customHeight="1">
      <c r="A74" s="770"/>
      <c r="B74" s="772"/>
      <c r="C74" s="372" t="s">
        <v>592</v>
      </c>
      <c r="D74" s="400"/>
      <c r="E74" s="405"/>
      <c r="F74" s="403"/>
    </row>
    <row r="75" spans="1:6" ht="89.4" customHeight="1">
      <c r="A75" s="770"/>
      <c r="B75" s="772"/>
      <c r="C75" s="372" t="s">
        <v>593</v>
      </c>
      <c r="D75" s="394">
        <v>70000</v>
      </c>
      <c r="E75" s="405">
        <f>D75</f>
        <v>70000</v>
      </c>
      <c r="F75" s="403">
        <f t="shared" si="0"/>
        <v>100</v>
      </c>
    </row>
    <row r="76" spans="1:6" ht="99.6" customHeight="1">
      <c r="A76" s="770"/>
      <c r="B76" s="772"/>
      <c r="C76" s="372" t="s">
        <v>594</v>
      </c>
      <c r="D76" s="394">
        <v>250000</v>
      </c>
      <c r="E76" s="405">
        <v>249220.6</v>
      </c>
      <c r="F76" s="403">
        <f t="shared" si="0"/>
        <v>99.688240000000008</v>
      </c>
    </row>
    <row r="77" spans="1:6" ht="120" customHeight="1">
      <c r="A77" s="771"/>
      <c r="B77" s="772"/>
      <c r="C77" s="373" t="s">
        <v>595</v>
      </c>
      <c r="D77" s="394">
        <v>20000</v>
      </c>
      <c r="E77" s="405">
        <f t="shared" ref="E77" si="2">D77</f>
        <v>20000</v>
      </c>
      <c r="F77" s="403">
        <f t="shared" si="0"/>
        <v>100</v>
      </c>
    </row>
    <row r="78" spans="1:6" ht="24.6" customHeight="1">
      <c r="A78" s="355">
        <v>1310000000</v>
      </c>
      <c r="B78" s="755" t="s">
        <v>554</v>
      </c>
      <c r="C78" s="756"/>
      <c r="D78" s="357">
        <f>D75+D76</f>
        <v>320000</v>
      </c>
      <c r="E78" s="357">
        <f>E75+E76</f>
        <v>319220.59999999998</v>
      </c>
      <c r="F78" s="409">
        <f t="shared" si="0"/>
        <v>99.75643749999999</v>
      </c>
    </row>
    <row r="79" spans="1:6" ht="24.6" customHeight="1">
      <c r="A79" s="355">
        <v>1358700000</v>
      </c>
      <c r="B79" s="755" t="s">
        <v>596</v>
      </c>
      <c r="C79" s="756"/>
      <c r="D79" s="357">
        <v>20000</v>
      </c>
      <c r="E79" s="357">
        <v>20000</v>
      </c>
      <c r="F79" s="409">
        <f t="shared" si="0"/>
        <v>100</v>
      </c>
    </row>
    <row r="80" spans="1:6" ht="56.4" customHeight="1">
      <c r="A80" s="757" t="s">
        <v>597</v>
      </c>
      <c r="B80" s="760" t="s">
        <v>253</v>
      </c>
      <c r="C80" s="374" t="s">
        <v>598</v>
      </c>
      <c r="D80" s="375">
        <f>SUM(D82:D100)-D85</f>
        <v>17042000</v>
      </c>
      <c r="E80" s="375">
        <f>SUM(E82:E100)-E85</f>
        <v>17038553.120000001</v>
      </c>
      <c r="F80" s="409">
        <f t="shared" ref="F80:F109" si="3">E80/D80*100</f>
        <v>99.979774204905539</v>
      </c>
    </row>
    <row r="81" spans="1:6">
      <c r="A81" s="758"/>
      <c r="B81" s="761"/>
      <c r="C81" s="376" t="s">
        <v>592</v>
      </c>
      <c r="D81" s="377"/>
      <c r="E81" s="405"/>
      <c r="F81" s="403"/>
    </row>
    <row r="82" spans="1:6" ht="118.2" customHeight="1">
      <c r="A82" s="758"/>
      <c r="B82" s="761"/>
      <c r="C82" s="378" t="s">
        <v>599</v>
      </c>
      <c r="D82" s="377">
        <v>800000</v>
      </c>
      <c r="E82" s="405">
        <v>799975.12</v>
      </c>
      <c r="F82" s="403">
        <f t="shared" si="3"/>
        <v>99.996890000000008</v>
      </c>
    </row>
    <row r="83" spans="1:6" ht="84.6" customHeight="1">
      <c r="A83" s="758"/>
      <c r="B83" s="761"/>
      <c r="C83" s="378" t="s">
        <v>600</v>
      </c>
      <c r="D83" s="377">
        <v>700000</v>
      </c>
      <c r="E83" s="405">
        <v>696578</v>
      </c>
      <c r="F83" s="403">
        <f t="shared" si="3"/>
        <v>99.511142857142858</v>
      </c>
    </row>
    <row r="84" spans="1:6" ht="101.4" customHeight="1">
      <c r="A84" s="758"/>
      <c r="B84" s="761"/>
      <c r="C84" s="378" t="s">
        <v>601</v>
      </c>
      <c r="D84" s="377">
        <v>72000</v>
      </c>
      <c r="E84" s="405">
        <f t="shared" ref="E84" si="4">D84</f>
        <v>72000</v>
      </c>
      <c r="F84" s="403">
        <f t="shared" si="3"/>
        <v>100</v>
      </c>
    </row>
    <row r="85" spans="1:6" ht="112.8" customHeight="1">
      <c r="A85" s="758"/>
      <c r="B85" s="761"/>
      <c r="C85" s="379" t="s">
        <v>602</v>
      </c>
      <c r="D85" s="375">
        <f>SUM(D87:D100)</f>
        <v>15470000</v>
      </c>
      <c r="E85" s="375">
        <f>SUM(E87:E100)</f>
        <v>15470000</v>
      </c>
      <c r="F85" s="403">
        <f t="shared" si="3"/>
        <v>100</v>
      </c>
    </row>
    <row r="86" spans="1:6" ht="18.600000000000001" customHeight="1">
      <c r="A86" s="758"/>
      <c r="B86" s="761"/>
      <c r="C86" s="376" t="s">
        <v>592</v>
      </c>
      <c r="D86" s="377"/>
      <c r="E86" s="405"/>
      <c r="F86" s="403"/>
    </row>
    <row r="87" spans="1:6" ht="23.4" customHeight="1">
      <c r="A87" s="758"/>
      <c r="B87" s="761"/>
      <c r="C87" s="380" t="s">
        <v>603</v>
      </c>
      <c r="D87" s="381">
        <v>4170000</v>
      </c>
      <c r="E87" s="405">
        <f>D87</f>
        <v>4170000</v>
      </c>
      <c r="F87" s="403">
        <f t="shared" si="3"/>
        <v>100</v>
      </c>
    </row>
    <row r="88" spans="1:6" ht="19.8" customHeight="1">
      <c r="A88" s="758"/>
      <c r="B88" s="761"/>
      <c r="C88" s="380" t="s">
        <v>604</v>
      </c>
      <c r="D88" s="381">
        <v>3000000</v>
      </c>
      <c r="E88" s="405">
        <f t="shared" ref="E88:E100" si="5">D88</f>
        <v>3000000</v>
      </c>
      <c r="F88" s="403">
        <f t="shared" si="3"/>
        <v>100</v>
      </c>
    </row>
    <row r="89" spans="1:6" ht="24" customHeight="1">
      <c r="A89" s="758"/>
      <c r="B89" s="761"/>
      <c r="C89" s="380" t="s">
        <v>605</v>
      </c>
      <c r="D89" s="381">
        <v>500000</v>
      </c>
      <c r="E89" s="405">
        <f t="shared" si="5"/>
        <v>500000</v>
      </c>
      <c r="F89" s="403">
        <f t="shared" si="3"/>
        <v>100</v>
      </c>
    </row>
    <row r="90" spans="1:6" ht="27" customHeight="1">
      <c r="A90" s="758"/>
      <c r="B90" s="761"/>
      <c r="C90" s="380" t="s">
        <v>606</v>
      </c>
      <c r="D90" s="381">
        <v>1500000</v>
      </c>
      <c r="E90" s="405">
        <f t="shared" si="5"/>
        <v>1500000</v>
      </c>
      <c r="F90" s="403">
        <f t="shared" si="3"/>
        <v>100</v>
      </c>
    </row>
    <row r="91" spans="1:6" ht="27" customHeight="1">
      <c r="A91" s="758"/>
      <c r="B91" s="761"/>
      <c r="C91" s="380" t="s">
        <v>607</v>
      </c>
      <c r="D91" s="381">
        <v>1500000</v>
      </c>
      <c r="E91" s="405">
        <f t="shared" si="5"/>
        <v>1500000</v>
      </c>
      <c r="F91" s="403">
        <f t="shared" si="3"/>
        <v>100</v>
      </c>
    </row>
    <row r="92" spans="1:6" ht="27" customHeight="1">
      <c r="A92" s="758"/>
      <c r="B92" s="761"/>
      <c r="C92" s="380" t="s">
        <v>608</v>
      </c>
      <c r="D92" s="381">
        <v>500000</v>
      </c>
      <c r="E92" s="405">
        <f t="shared" si="5"/>
        <v>500000</v>
      </c>
      <c r="F92" s="403">
        <f t="shared" si="3"/>
        <v>100</v>
      </c>
    </row>
    <row r="93" spans="1:6" ht="27" customHeight="1">
      <c r="A93" s="758"/>
      <c r="B93" s="761"/>
      <c r="C93" s="380" t="s">
        <v>609</v>
      </c>
      <c r="D93" s="381">
        <v>500000</v>
      </c>
      <c r="E93" s="405">
        <f t="shared" si="5"/>
        <v>500000</v>
      </c>
      <c r="F93" s="403">
        <f t="shared" si="3"/>
        <v>100</v>
      </c>
    </row>
    <row r="94" spans="1:6" ht="27" customHeight="1">
      <c r="A94" s="758"/>
      <c r="B94" s="761"/>
      <c r="C94" s="380" t="s">
        <v>610</v>
      </c>
      <c r="D94" s="381">
        <v>500000</v>
      </c>
      <c r="E94" s="405">
        <f t="shared" si="5"/>
        <v>500000</v>
      </c>
      <c r="F94" s="403">
        <f t="shared" si="3"/>
        <v>100</v>
      </c>
    </row>
    <row r="95" spans="1:6" ht="27" customHeight="1">
      <c r="A95" s="758"/>
      <c r="B95" s="761"/>
      <c r="C95" s="380" t="s">
        <v>611</v>
      </c>
      <c r="D95" s="381">
        <v>500000</v>
      </c>
      <c r="E95" s="405">
        <f t="shared" si="5"/>
        <v>500000</v>
      </c>
      <c r="F95" s="403">
        <f t="shared" si="3"/>
        <v>100</v>
      </c>
    </row>
    <row r="96" spans="1:6" ht="27" customHeight="1">
      <c r="A96" s="758"/>
      <c r="B96" s="761"/>
      <c r="C96" s="380" t="s">
        <v>612</v>
      </c>
      <c r="D96" s="381">
        <v>500000</v>
      </c>
      <c r="E96" s="405">
        <f t="shared" si="5"/>
        <v>500000</v>
      </c>
      <c r="F96" s="403">
        <f t="shared" si="3"/>
        <v>100</v>
      </c>
    </row>
    <row r="97" spans="1:6" ht="27" customHeight="1">
      <c r="A97" s="758"/>
      <c r="B97" s="761"/>
      <c r="C97" s="380" t="s">
        <v>613</v>
      </c>
      <c r="D97" s="381">
        <v>500000</v>
      </c>
      <c r="E97" s="405">
        <f t="shared" si="5"/>
        <v>500000</v>
      </c>
      <c r="F97" s="403">
        <f t="shared" si="3"/>
        <v>100</v>
      </c>
    </row>
    <row r="98" spans="1:6" ht="27" customHeight="1">
      <c r="A98" s="758"/>
      <c r="B98" s="761"/>
      <c r="C98" s="380" t="s">
        <v>614</v>
      </c>
      <c r="D98" s="381">
        <v>300000</v>
      </c>
      <c r="E98" s="405">
        <f t="shared" si="5"/>
        <v>300000</v>
      </c>
      <c r="F98" s="403">
        <f t="shared" si="3"/>
        <v>100</v>
      </c>
    </row>
    <row r="99" spans="1:6" ht="27" customHeight="1">
      <c r="A99" s="758"/>
      <c r="B99" s="761"/>
      <c r="C99" s="380" t="s">
        <v>615</v>
      </c>
      <c r="D99" s="381">
        <v>500000</v>
      </c>
      <c r="E99" s="405">
        <f t="shared" si="5"/>
        <v>500000</v>
      </c>
      <c r="F99" s="403">
        <f t="shared" si="3"/>
        <v>100</v>
      </c>
    </row>
    <row r="100" spans="1:6" ht="27" customHeight="1">
      <c r="A100" s="759"/>
      <c r="B100" s="762"/>
      <c r="C100" s="380" t="s">
        <v>616</v>
      </c>
      <c r="D100" s="381">
        <v>1000000</v>
      </c>
      <c r="E100" s="405">
        <f t="shared" si="5"/>
        <v>1000000</v>
      </c>
      <c r="F100" s="403">
        <f t="shared" si="3"/>
        <v>100</v>
      </c>
    </row>
    <row r="101" spans="1:6" ht="17.399999999999999">
      <c r="A101" s="355">
        <v>990000000</v>
      </c>
      <c r="B101" s="767" t="s">
        <v>552</v>
      </c>
      <c r="C101" s="768"/>
      <c r="D101" s="357">
        <f>D80</f>
        <v>17042000</v>
      </c>
      <c r="E101" s="357">
        <f>E80</f>
        <v>17038553.120000001</v>
      </c>
      <c r="F101" s="409">
        <f t="shared" si="3"/>
        <v>99.979774204905539</v>
      </c>
    </row>
    <row r="102" spans="1:6">
      <c r="A102" s="749" t="s">
        <v>617</v>
      </c>
      <c r="B102" s="749"/>
      <c r="C102" s="749"/>
      <c r="D102" s="749"/>
      <c r="E102" s="405"/>
      <c r="F102" s="403"/>
    </row>
    <row r="103" spans="1:6" ht="54">
      <c r="A103" s="382" t="s">
        <v>618</v>
      </c>
      <c r="B103" s="382" t="s">
        <v>265</v>
      </c>
      <c r="C103" s="383" t="s">
        <v>619</v>
      </c>
      <c r="D103" s="384">
        <v>1950000</v>
      </c>
      <c r="E103" s="405">
        <f>D103</f>
        <v>1950000</v>
      </c>
      <c r="F103" s="403">
        <f t="shared" si="3"/>
        <v>100</v>
      </c>
    </row>
    <row r="104" spans="1:6" ht="22.8" customHeight="1">
      <c r="A104" s="353">
        <v>1310000000</v>
      </c>
      <c r="B104" s="750" t="s">
        <v>554</v>
      </c>
      <c r="C104" s="751"/>
      <c r="D104" s="357">
        <f>D103</f>
        <v>1950000</v>
      </c>
      <c r="E104" s="357">
        <f>E103</f>
        <v>1950000</v>
      </c>
      <c r="F104" s="409">
        <f t="shared" si="3"/>
        <v>100</v>
      </c>
    </row>
    <row r="105" spans="1:6" ht="99" customHeight="1">
      <c r="A105" s="382" t="s">
        <v>618</v>
      </c>
      <c r="B105" s="382" t="s">
        <v>265</v>
      </c>
      <c r="C105" s="383" t="s">
        <v>620</v>
      </c>
      <c r="D105" s="356">
        <v>500000</v>
      </c>
      <c r="E105" s="405">
        <f>D105</f>
        <v>500000</v>
      </c>
      <c r="F105" s="403">
        <f t="shared" si="3"/>
        <v>100</v>
      </c>
    </row>
    <row r="106" spans="1:6" ht="22.8" customHeight="1">
      <c r="A106" s="353">
        <v>1358700000</v>
      </c>
      <c r="B106" s="750" t="s">
        <v>596</v>
      </c>
      <c r="C106" s="751"/>
      <c r="D106" s="357">
        <f>D105</f>
        <v>500000</v>
      </c>
      <c r="E106" s="357">
        <f>E105</f>
        <v>500000</v>
      </c>
      <c r="F106" s="409">
        <f t="shared" si="3"/>
        <v>100</v>
      </c>
    </row>
    <row r="107" spans="1:6" ht="18" customHeight="1">
      <c r="A107" s="385" t="s">
        <v>621</v>
      </c>
      <c r="B107" s="386"/>
      <c r="C107" s="361" t="s">
        <v>567</v>
      </c>
      <c r="D107" s="357">
        <f>SUM(D108:D109)</f>
        <v>27482000</v>
      </c>
      <c r="E107" s="357">
        <f>SUM(E108:E109)</f>
        <v>27477773.720000003</v>
      </c>
      <c r="F107" s="409">
        <f t="shared" si="3"/>
        <v>99.984621643257412</v>
      </c>
    </row>
    <row r="108" spans="1:6" ht="23.4" customHeight="1">
      <c r="A108" s="385" t="s">
        <v>621</v>
      </c>
      <c r="B108" s="386"/>
      <c r="C108" s="361" t="s">
        <v>568</v>
      </c>
      <c r="D108" s="357">
        <f>D80+D57+D73</f>
        <v>25032000</v>
      </c>
      <c r="E108" s="357">
        <f>E80+E57+E73</f>
        <v>25027773.720000003</v>
      </c>
      <c r="F108" s="409">
        <f t="shared" si="3"/>
        <v>99.983116490891661</v>
      </c>
    </row>
    <row r="109" spans="1:6" ht="18" customHeight="1">
      <c r="A109" s="385" t="s">
        <v>621</v>
      </c>
      <c r="B109" s="386"/>
      <c r="C109" s="361" t="s">
        <v>569</v>
      </c>
      <c r="D109" s="357">
        <f>D104+D106</f>
        <v>2450000</v>
      </c>
      <c r="E109" s="357">
        <f>E104+E106</f>
        <v>2450000</v>
      </c>
      <c r="F109" s="409">
        <f t="shared" si="3"/>
        <v>100</v>
      </c>
    </row>
    <row r="110" spans="1:6" ht="18" customHeight="1">
      <c r="A110" s="387"/>
      <c r="B110" s="362"/>
      <c r="C110" s="363"/>
      <c r="D110" s="388"/>
    </row>
    <row r="111" spans="1:6" ht="18" customHeight="1">
      <c r="A111" s="387"/>
      <c r="B111" s="362"/>
      <c r="C111" s="363"/>
      <c r="D111" s="388"/>
    </row>
    <row r="113" spans="1:3">
      <c r="A113" s="389" t="s">
        <v>622</v>
      </c>
      <c r="B113" s="389"/>
      <c r="C113" s="390" t="s">
        <v>623</v>
      </c>
    </row>
  </sheetData>
  <mergeCells count="61">
    <mergeCell ref="B8:C8"/>
    <mergeCell ref="B9:C9"/>
    <mergeCell ref="A10:D10"/>
    <mergeCell ref="B12:C12"/>
    <mergeCell ref="B13:C13"/>
    <mergeCell ref="B15:C15"/>
    <mergeCell ref="B16:C16"/>
    <mergeCell ref="B17:C17"/>
    <mergeCell ref="B18:C18"/>
    <mergeCell ref="A14:F14"/>
    <mergeCell ref="A29:A30"/>
    <mergeCell ref="B29:C29"/>
    <mergeCell ref="B30:C30"/>
    <mergeCell ref="B19:C19"/>
    <mergeCell ref="B20:C20"/>
    <mergeCell ref="B21:C21"/>
    <mergeCell ref="B22:C22"/>
    <mergeCell ref="B23:C23"/>
    <mergeCell ref="B24:C24"/>
    <mergeCell ref="B36:C36"/>
    <mergeCell ref="B25:C25"/>
    <mergeCell ref="B26:C26"/>
    <mergeCell ref="B27:C27"/>
    <mergeCell ref="B28:C28"/>
    <mergeCell ref="B31:C31"/>
    <mergeCell ref="B32:C32"/>
    <mergeCell ref="B33:C33"/>
    <mergeCell ref="B34:C34"/>
    <mergeCell ref="B35:C35"/>
    <mergeCell ref="B37:C37"/>
    <mergeCell ref="B39:C39"/>
    <mergeCell ref="B40:C40"/>
    <mergeCell ref="B41:C41"/>
    <mergeCell ref="B42:C42"/>
    <mergeCell ref="B72:C72"/>
    <mergeCell ref="A73:A77"/>
    <mergeCell ref="B73:B77"/>
    <mergeCell ref="B78:C78"/>
    <mergeCell ref="A48:B48"/>
    <mergeCell ref="A49:B49"/>
    <mergeCell ref="A50:B50"/>
    <mergeCell ref="A52:D52"/>
    <mergeCell ref="A56:D56"/>
    <mergeCell ref="A57:A71"/>
    <mergeCell ref="B57:B71"/>
    <mergeCell ref="A5:F5"/>
    <mergeCell ref="A6:F6"/>
    <mergeCell ref="A102:D102"/>
    <mergeCell ref="B104:C104"/>
    <mergeCell ref="B106:C106"/>
    <mergeCell ref="A38:F38"/>
    <mergeCell ref="B79:C79"/>
    <mergeCell ref="A80:A100"/>
    <mergeCell ref="B80:B100"/>
    <mergeCell ref="B46:C46"/>
    <mergeCell ref="B47:C47"/>
    <mergeCell ref="A43:A44"/>
    <mergeCell ref="B43:C43"/>
    <mergeCell ref="B44:C44"/>
    <mergeCell ref="B45:C45"/>
    <mergeCell ref="B101:C101"/>
  </mergeCells>
  <pageMargins left="0.70866141732283472" right="0.23622047244094491" top="0.27559055118110237" bottom="0.27559055118110237"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dimension ref="A1:O91"/>
  <sheetViews>
    <sheetView topLeftCell="D1" zoomScale="80" zoomScaleNormal="80" workbookViewId="0">
      <pane xSplit="2" ySplit="10" topLeftCell="F44" activePane="bottomRight" state="frozen"/>
      <selection activeCell="D1" sqref="D1"/>
      <selection pane="topRight" activeCell="F1" sqref="F1"/>
      <selection pane="bottomLeft" activeCell="D11" sqref="D11"/>
      <selection pane="bottomRight" activeCell="K4" sqref="K4"/>
    </sheetView>
  </sheetViews>
  <sheetFormatPr defaultColWidth="9.109375" defaultRowHeight="13.2"/>
  <cols>
    <col min="1" max="3" width="12.44140625" style="126" customWidth="1"/>
    <col min="4" max="4" width="41.44140625" style="126" customWidth="1"/>
    <col min="5" max="5" width="51.5546875" style="126" customWidth="1"/>
    <col min="6" max="6" width="17.5546875" style="126" customWidth="1"/>
    <col min="7" max="8" width="16.44140625" style="126" customWidth="1"/>
    <col min="9" max="9" width="12.6640625" style="126" customWidth="1"/>
    <col min="10" max="11" width="16.5546875" style="126" customWidth="1"/>
    <col min="12" max="12" width="16.33203125" style="126" customWidth="1"/>
    <col min="13" max="13" width="15" style="126" customWidth="1"/>
    <col min="14" max="14" width="15.5546875" style="126" customWidth="1"/>
    <col min="15" max="15" width="13.77734375" style="126" customWidth="1"/>
    <col min="16" max="16384" width="9.109375" style="126"/>
  </cols>
  <sheetData>
    <row r="1" spans="1:15" ht="18">
      <c r="K1" s="604" t="s">
        <v>842</v>
      </c>
    </row>
    <row r="2" spans="1:15" ht="18">
      <c r="K2" s="604" t="s">
        <v>627</v>
      </c>
    </row>
    <row r="3" spans="1:15" ht="18.600000000000001" customHeight="1">
      <c r="A3" s="790"/>
      <c r="B3" s="790"/>
      <c r="K3" s="604" t="s">
        <v>868</v>
      </c>
    </row>
    <row r="4" spans="1:15" ht="15.6">
      <c r="A4" s="791"/>
      <c r="B4" s="791"/>
    </row>
    <row r="5" spans="1:15" ht="20.399999999999999">
      <c r="A5" s="868" t="s">
        <v>853</v>
      </c>
      <c r="B5" s="868"/>
      <c r="C5" s="868"/>
      <c r="D5" s="868"/>
      <c r="E5" s="868"/>
      <c r="F5" s="868"/>
      <c r="G5" s="868"/>
      <c r="H5" s="868"/>
      <c r="I5" s="868"/>
      <c r="J5" s="868"/>
      <c r="K5" s="868"/>
      <c r="L5" s="868"/>
      <c r="M5" s="868"/>
    </row>
    <row r="6" spans="1:15" ht="20.399999999999999">
      <c r="A6" s="684" t="s">
        <v>628</v>
      </c>
      <c r="B6" s="684"/>
      <c r="C6" s="527"/>
      <c r="D6" s="527"/>
      <c r="E6" s="527"/>
      <c r="F6" s="527"/>
      <c r="G6" s="527"/>
      <c r="H6" s="527"/>
      <c r="I6" s="527"/>
      <c r="J6" s="527"/>
      <c r="K6" s="527"/>
      <c r="L6" s="527"/>
      <c r="M6" s="527"/>
    </row>
    <row r="7" spans="1:15" ht="18" thickBot="1">
      <c r="A7" s="791" t="s">
        <v>545</v>
      </c>
      <c r="B7" s="791"/>
      <c r="M7" s="435" t="s">
        <v>645</v>
      </c>
    </row>
    <row r="8" spans="1:15" ht="31.8" customHeight="1">
      <c r="A8" s="808" t="s">
        <v>646</v>
      </c>
      <c r="B8" s="814" t="s">
        <v>845</v>
      </c>
      <c r="C8" s="811" t="s">
        <v>846</v>
      </c>
      <c r="D8" s="808" t="s">
        <v>647</v>
      </c>
      <c r="E8" s="805" t="s">
        <v>648</v>
      </c>
      <c r="F8" s="802" t="s">
        <v>649</v>
      </c>
      <c r="G8" s="800" t="s">
        <v>154</v>
      </c>
      <c r="H8" s="800"/>
      <c r="I8" s="797" t="s">
        <v>625</v>
      </c>
      <c r="J8" s="795" t="s">
        <v>2</v>
      </c>
      <c r="K8" s="795"/>
      <c r="L8" s="793" t="s">
        <v>843</v>
      </c>
      <c r="M8" s="793"/>
      <c r="N8" s="793"/>
      <c r="O8" s="794"/>
    </row>
    <row r="9" spans="1:15" ht="43.2" customHeight="1">
      <c r="A9" s="809"/>
      <c r="B9" s="815"/>
      <c r="C9" s="812"/>
      <c r="D9" s="809"/>
      <c r="E9" s="806"/>
      <c r="F9" s="803"/>
      <c r="G9" s="801"/>
      <c r="H9" s="801"/>
      <c r="I9" s="798"/>
      <c r="J9" s="796"/>
      <c r="K9" s="796"/>
      <c r="L9" s="792" t="s">
        <v>844</v>
      </c>
      <c r="M9" s="792"/>
      <c r="N9" s="806" t="s">
        <v>631</v>
      </c>
      <c r="O9" s="817"/>
    </row>
    <row r="10" spans="1:15" ht="74.400000000000006" customHeight="1" thickBot="1">
      <c r="A10" s="810"/>
      <c r="B10" s="816"/>
      <c r="C10" s="813"/>
      <c r="D10" s="810"/>
      <c r="E10" s="807"/>
      <c r="F10" s="804"/>
      <c r="G10" s="436" t="s">
        <v>650</v>
      </c>
      <c r="H10" s="436" t="s">
        <v>651</v>
      </c>
      <c r="I10" s="799"/>
      <c r="J10" s="437" t="s">
        <v>650</v>
      </c>
      <c r="K10" s="437" t="s">
        <v>651</v>
      </c>
      <c r="L10" s="437" t="s">
        <v>650</v>
      </c>
      <c r="M10" s="437" t="s">
        <v>651</v>
      </c>
      <c r="N10" s="437" t="s">
        <v>650</v>
      </c>
      <c r="O10" s="438" t="s">
        <v>651</v>
      </c>
    </row>
    <row r="11" spans="1:15" ht="29.4" customHeight="1" thickBot="1">
      <c r="A11" s="538" t="s">
        <v>652</v>
      </c>
      <c r="B11" s="539"/>
      <c r="C11" s="553"/>
      <c r="D11" s="570" t="s">
        <v>653</v>
      </c>
      <c r="E11" s="540"/>
      <c r="F11" s="541"/>
      <c r="G11" s="542">
        <f t="shared" ref="G11:H83" si="0">J11+L11</f>
        <v>80590046</v>
      </c>
      <c r="H11" s="542">
        <f t="shared" si="0"/>
        <v>74471507.909999996</v>
      </c>
      <c r="I11" s="543">
        <f>H11/G11*100</f>
        <v>92.407824050627781</v>
      </c>
      <c r="J11" s="544">
        <f>SUM(J12:J72)-J23-J28</f>
        <v>67318168</v>
      </c>
      <c r="K11" s="544">
        <f>SUM(K12:K72)-K23-K28</f>
        <v>62014030.519999996</v>
      </c>
      <c r="L11" s="544">
        <f>SUM(L12:L72)-L23-L28</f>
        <v>13271878</v>
      </c>
      <c r="M11" s="544">
        <f t="shared" ref="M11:O11" si="1">SUM(M12:M72)-M23-M28</f>
        <v>12457477.390000001</v>
      </c>
      <c r="N11" s="544">
        <f t="shared" si="1"/>
        <v>12588878</v>
      </c>
      <c r="O11" s="571">
        <f t="shared" si="1"/>
        <v>12266470.560000001</v>
      </c>
    </row>
    <row r="12" spans="1:15" ht="62.4">
      <c r="A12" s="440" t="s">
        <v>654</v>
      </c>
      <c r="B12" s="511" t="s">
        <v>403</v>
      </c>
      <c r="C12" s="554" t="s">
        <v>820</v>
      </c>
      <c r="D12" s="572" t="s">
        <v>408</v>
      </c>
      <c r="E12" s="441" t="s">
        <v>655</v>
      </c>
      <c r="F12" s="507" t="s">
        <v>656</v>
      </c>
      <c r="G12" s="442">
        <f t="shared" si="0"/>
        <v>220000</v>
      </c>
      <c r="H12" s="442">
        <f t="shared" si="0"/>
        <v>200125.05</v>
      </c>
      <c r="I12" s="528">
        <f t="shared" ref="I12:I73" si="2">H12/G12*100</f>
        <v>90.965931818181815</v>
      </c>
      <c r="J12" s="443">
        <v>220000</v>
      </c>
      <c r="K12" s="443">
        <f>160960.9+32955.03+909.12+5300</f>
        <v>200125.05</v>
      </c>
      <c r="L12" s="443">
        <v>0</v>
      </c>
      <c r="M12" s="531"/>
      <c r="N12" s="476">
        <v>0</v>
      </c>
      <c r="O12" s="573"/>
    </row>
    <row r="13" spans="1:15" s="450" customFormat="1" ht="37.200000000000003" customHeight="1">
      <c r="A13" s="444" t="s">
        <v>657</v>
      </c>
      <c r="B13" s="512">
        <v>2152</v>
      </c>
      <c r="C13" s="555" t="s">
        <v>821</v>
      </c>
      <c r="D13" s="574" t="s">
        <v>658</v>
      </c>
      <c r="E13" s="504" t="s">
        <v>659</v>
      </c>
      <c r="F13" s="445" t="s">
        <v>660</v>
      </c>
      <c r="G13" s="446">
        <f t="shared" si="0"/>
        <v>5464600</v>
      </c>
      <c r="H13" s="446">
        <f t="shared" si="0"/>
        <v>5409033.6200000001</v>
      </c>
      <c r="I13" s="528">
        <f t="shared" si="2"/>
        <v>98.983157413168399</v>
      </c>
      <c r="J13" s="447">
        <v>5455200</v>
      </c>
      <c r="K13" s="447">
        <v>5399683.6200000001</v>
      </c>
      <c r="L13" s="448">
        <v>9400</v>
      </c>
      <c r="M13" s="532">
        <v>9350</v>
      </c>
      <c r="N13" s="448">
        <v>9400</v>
      </c>
      <c r="O13" s="449">
        <v>9350</v>
      </c>
    </row>
    <row r="14" spans="1:15" s="450" customFormat="1" ht="78">
      <c r="A14" s="444" t="s">
        <v>661</v>
      </c>
      <c r="B14" s="500" t="s">
        <v>372</v>
      </c>
      <c r="C14" s="555" t="s">
        <v>347</v>
      </c>
      <c r="D14" s="574" t="s">
        <v>373</v>
      </c>
      <c r="E14" s="451" t="s">
        <v>662</v>
      </c>
      <c r="F14" s="445" t="s">
        <v>663</v>
      </c>
      <c r="G14" s="446">
        <f t="shared" si="0"/>
        <v>1200000</v>
      </c>
      <c r="H14" s="446">
        <f t="shared" si="0"/>
        <v>1112400</v>
      </c>
      <c r="I14" s="528">
        <f t="shared" si="2"/>
        <v>92.7</v>
      </c>
      <c r="J14" s="448">
        <v>1200000</v>
      </c>
      <c r="K14" s="448">
        <f>261044.6+46190.2+65635.5+62950.9+385200+59131+58065.5+57784.8+50466.24+65931.26</f>
        <v>1112400</v>
      </c>
      <c r="L14" s="448">
        <v>0</v>
      </c>
      <c r="M14" s="532"/>
      <c r="N14" s="448">
        <v>0</v>
      </c>
      <c r="O14" s="575"/>
    </row>
    <row r="15" spans="1:15" s="450" customFormat="1" ht="62.4">
      <c r="A15" s="444" t="s">
        <v>664</v>
      </c>
      <c r="B15" s="500" t="s">
        <v>325</v>
      </c>
      <c r="C15" s="555" t="s">
        <v>347</v>
      </c>
      <c r="D15" s="574" t="s">
        <v>324</v>
      </c>
      <c r="E15" s="451" t="s">
        <v>665</v>
      </c>
      <c r="F15" s="445" t="s">
        <v>666</v>
      </c>
      <c r="G15" s="446">
        <f t="shared" si="0"/>
        <v>125000</v>
      </c>
      <c r="H15" s="446">
        <f t="shared" si="0"/>
        <v>58895.3</v>
      </c>
      <c r="I15" s="528">
        <f t="shared" si="2"/>
        <v>47.116240000000005</v>
      </c>
      <c r="J15" s="448">
        <v>125000</v>
      </c>
      <c r="K15" s="448">
        <f>22950.58+4966.03+5466.53+7091.11+18421.05</f>
        <v>58895.3</v>
      </c>
      <c r="L15" s="448">
        <v>0</v>
      </c>
      <c r="M15" s="532"/>
      <c r="N15" s="448">
        <v>0</v>
      </c>
      <c r="O15" s="575"/>
    </row>
    <row r="16" spans="1:15" s="450" customFormat="1" ht="59.4" customHeight="1">
      <c r="A16" s="444" t="s">
        <v>667</v>
      </c>
      <c r="B16" s="500" t="s">
        <v>371</v>
      </c>
      <c r="C16" s="555" t="s">
        <v>347</v>
      </c>
      <c r="D16" s="574" t="s">
        <v>668</v>
      </c>
      <c r="E16" s="504" t="s">
        <v>669</v>
      </c>
      <c r="F16" s="508" t="s">
        <v>670</v>
      </c>
      <c r="G16" s="446">
        <f t="shared" si="0"/>
        <v>7200</v>
      </c>
      <c r="H16" s="446">
        <f t="shared" si="0"/>
        <v>3176.51</v>
      </c>
      <c r="I16" s="528">
        <f t="shared" si="2"/>
        <v>44.118194444444448</v>
      </c>
      <c r="J16" s="448">
        <v>7200</v>
      </c>
      <c r="K16" s="448">
        <f>2786.51+195+195</f>
        <v>3176.51</v>
      </c>
      <c r="L16" s="448">
        <v>0</v>
      </c>
      <c r="M16" s="532"/>
      <c r="N16" s="448">
        <v>0</v>
      </c>
      <c r="O16" s="575"/>
    </row>
    <row r="17" spans="1:15" s="450" customFormat="1" ht="127.8" customHeight="1">
      <c r="A17" s="444" t="s">
        <v>671</v>
      </c>
      <c r="B17" s="500" t="s">
        <v>540</v>
      </c>
      <c r="C17" s="555" t="s">
        <v>446</v>
      </c>
      <c r="D17" s="576" t="s">
        <v>542</v>
      </c>
      <c r="E17" s="504" t="s">
        <v>672</v>
      </c>
      <c r="F17" s="452" t="s">
        <v>673</v>
      </c>
      <c r="G17" s="446">
        <f t="shared" si="0"/>
        <v>180000</v>
      </c>
      <c r="H17" s="446">
        <f t="shared" si="0"/>
        <v>81520.899999999994</v>
      </c>
      <c r="I17" s="528">
        <f t="shared" si="2"/>
        <v>45.289388888888887</v>
      </c>
      <c r="J17" s="448">
        <v>180000</v>
      </c>
      <c r="K17" s="448">
        <v>81520.899999999994</v>
      </c>
      <c r="L17" s="448">
        <v>0</v>
      </c>
      <c r="M17" s="532">
        <v>0</v>
      </c>
      <c r="N17" s="448">
        <v>0</v>
      </c>
      <c r="O17" s="575"/>
    </row>
    <row r="18" spans="1:15" s="450" customFormat="1" ht="109.2">
      <c r="A18" s="444" t="s">
        <v>674</v>
      </c>
      <c r="B18" s="500" t="s">
        <v>378</v>
      </c>
      <c r="C18" s="555" t="s">
        <v>163</v>
      </c>
      <c r="D18" s="574" t="s">
        <v>413</v>
      </c>
      <c r="E18" s="823" t="s">
        <v>669</v>
      </c>
      <c r="F18" s="847" t="s">
        <v>670</v>
      </c>
      <c r="G18" s="446">
        <f t="shared" si="0"/>
        <v>1600000</v>
      </c>
      <c r="H18" s="446">
        <f t="shared" si="0"/>
        <v>1506329</v>
      </c>
      <c r="I18" s="528">
        <f t="shared" si="2"/>
        <v>94.145562499999997</v>
      </c>
      <c r="J18" s="448">
        <v>1600000</v>
      </c>
      <c r="K18" s="448">
        <f>838992.63+120094.75+112481.03+120118.38+108519.08+108681.17+97441.96</f>
        <v>1506329</v>
      </c>
      <c r="L18" s="448">
        <v>0</v>
      </c>
      <c r="M18" s="532"/>
      <c r="N18" s="448">
        <v>0</v>
      </c>
      <c r="O18" s="575"/>
    </row>
    <row r="19" spans="1:15" s="450" customFormat="1" ht="93.6">
      <c r="A19" s="444" t="s">
        <v>675</v>
      </c>
      <c r="B19" s="500" t="s">
        <v>379</v>
      </c>
      <c r="C19" s="555" t="s">
        <v>459</v>
      </c>
      <c r="D19" s="574" t="s">
        <v>414</v>
      </c>
      <c r="E19" s="854"/>
      <c r="F19" s="848"/>
      <c r="G19" s="446">
        <f t="shared" si="0"/>
        <v>550000</v>
      </c>
      <c r="H19" s="446">
        <f t="shared" si="0"/>
        <v>453026.91</v>
      </c>
      <c r="I19" s="528">
        <f t="shared" si="2"/>
        <v>82.368529090909078</v>
      </c>
      <c r="J19" s="448">
        <v>550000</v>
      </c>
      <c r="K19" s="448">
        <v>453026.91</v>
      </c>
      <c r="L19" s="448">
        <v>0</v>
      </c>
      <c r="M19" s="532"/>
      <c r="N19" s="448">
        <v>0</v>
      </c>
      <c r="O19" s="575"/>
    </row>
    <row r="20" spans="1:15" s="450" customFormat="1" ht="78">
      <c r="A20" s="444" t="s">
        <v>676</v>
      </c>
      <c r="B20" s="500" t="s">
        <v>432</v>
      </c>
      <c r="C20" s="555" t="s">
        <v>351</v>
      </c>
      <c r="D20" s="577" t="s">
        <v>677</v>
      </c>
      <c r="E20" s="503" t="s">
        <v>678</v>
      </c>
      <c r="F20" s="445" t="s">
        <v>679</v>
      </c>
      <c r="G20" s="446">
        <f t="shared" si="0"/>
        <v>301500</v>
      </c>
      <c r="H20" s="446">
        <f t="shared" si="0"/>
        <v>301396</v>
      </c>
      <c r="I20" s="528">
        <f t="shared" si="2"/>
        <v>99.965505804311775</v>
      </c>
      <c r="J20" s="448">
        <v>301500</v>
      </c>
      <c r="K20" s="448">
        <v>301396</v>
      </c>
      <c r="L20" s="448"/>
      <c r="M20" s="532"/>
      <c r="N20" s="448">
        <v>0</v>
      </c>
      <c r="O20" s="575"/>
    </row>
    <row r="21" spans="1:15" s="455" customFormat="1" ht="46.8">
      <c r="A21" s="453" t="s">
        <v>680</v>
      </c>
      <c r="B21" s="515" t="s">
        <v>486</v>
      </c>
      <c r="C21" s="556" t="s">
        <v>822</v>
      </c>
      <c r="D21" s="578" t="s">
        <v>487</v>
      </c>
      <c r="E21" s="454" t="s">
        <v>681</v>
      </c>
      <c r="F21" s="445" t="s">
        <v>682</v>
      </c>
      <c r="G21" s="446">
        <f t="shared" si="0"/>
        <v>350000</v>
      </c>
      <c r="H21" s="446">
        <f t="shared" si="0"/>
        <v>198228.14</v>
      </c>
      <c r="I21" s="528">
        <f t="shared" si="2"/>
        <v>56.636611428571435</v>
      </c>
      <c r="J21" s="448">
        <v>350000</v>
      </c>
      <c r="K21" s="448">
        <v>198228.14</v>
      </c>
      <c r="L21" s="448">
        <v>0</v>
      </c>
      <c r="M21" s="532"/>
      <c r="N21" s="448">
        <v>0</v>
      </c>
      <c r="O21" s="579"/>
    </row>
    <row r="22" spans="1:15" s="450" customFormat="1" ht="62.4">
      <c r="A22" s="456" t="s">
        <v>683</v>
      </c>
      <c r="B22" s="500" t="s">
        <v>462</v>
      </c>
      <c r="C22" s="555" t="s">
        <v>347</v>
      </c>
      <c r="D22" s="580" t="s">
        <v>684</v>
      </c>
      <c r="E22" s="457" t="s">
        <v>685</v>
      </c>
      <c r="F22" s="445" t="s">
        <v>686</v>
      </c>
      <c r="G22" s="446">
        <f t="shared" si="0"/>
        <v>1726059</v>
      </c>
      <c r="H22" s="446">
        <f t="shared" si="0"/>
        <v>1050135.51</v>
      </c>
      <c r="I22" s="528">
        <f t="shared" si="2"/>
        <v>60.84007035680704</v>
      </c>
      <c r="J22" s="458">
        <v>1726059</v>
      </c>
      <c r="K22" s="458">
        <v>1050135.51</v>
      </c>
      <c r="L22" s="458">
        <v>0</v>
      </c>
      <c r="M22" s="532"/>
      <c r="N22" s="458">
        <v>0</v>
      </c>
      <c r="O22" s="575"/>
    </row>
    <row r="23" spans="1:15" s="450" customFormat="1" ht="46.8">
      <c r="A23" s="834" t="s">
        <v>687</v>
      </c>
      <c r="B23" s="849" t="s">
        <v>170</v>
      </c>
      <c r="C23" s="851" t="s">
        <v>823</v>
      </c>
      <c r="D23" s="872" t="s">
        <v>169</v>
      </c>
      <c r="E23" s="459" t="s">
        <v>669</v>
      </c>
      <c r="F23" s="445" t="s">
        <v>688</v>
      </c>
      <c r="G23" s="446">
        <f t="shared" si="0"/>
        <v>4304000</v>
      </c>
      <c r="H23" s="446">
        <f t="shared" si="0"/>
        <v>4270500</v>
      </c>
      <c r="I23" s="528">
        <f t="shared" si="2"/>
        <v>99.221654275092945</v>
      </c>
      <c r="J23" s="460">
        <f>SUM(J25:J27)</f>
        <v>4304000</v>
      </c>
      <c r="K23" s="460">
        <f>SUM(K25:K27)</f>
        <v>4270500</v>
      </c>
      <c r="L23" s="460">
        <v>0</v>
      </c>
      <c r="M23" s="532"/>
      <c r="N23" s="460">
        <v>0</v>
      </c>
      <c r="O23" s="575"/>
    </row>
    <row r="24" spans="1:15" s="450" customFormat="1" ht="16.2">
      <c r="A24" s="871"/>
      <c r="B24" s="869"/>
      <c r="C24" s="870"/>
      <c r="D24" s="873"/>
      <c r="E24" s="461" t="s">
        <v>689</v>
      </c>
      <c r="F24" s="462"/>
      <c r="G24" s="446"/>
      <c r="H24" s="446">
        <f t="shared" si="0"/>
        <v>0</v>
      </c>
      <c r="I24" s="528"/>
      <c r="J24" s="448"/>
      <c r="K24" s="448"/>
      <c r="L24" s="448"/>
      <c r="M24" s="532"/>
      <c r="N24" s="448"/>
      <c r="O24" s="575"/>
    </row>
    <row r="25" spans="1:15" s="450" customFormat="1" ht="31.2">
      <c r="A25" s="871"/>
      <c r="B25" s="869"/>
      <c r="C25" s="870"/>
      <c r="D25" s="873"/>
      <c r="E25" s="463" t="s">
        <v>690</v>
      </c>
      <c r="F25" s="462"/>
      <c r="G25" s="446">
        <f t="shared" si="0"/>
        <v>3887000</v>
      </c>
      <c r="H25" s="446">
        <f t="shared" si="0"/>
        <v>3886500</v>
      </c>
      <c r="I25" s="528">
        <f t="shared" si="2"/>
        <v>99.987136609210197</v>
      </c>
      <c r="J25" s="448">
        <v>3887000</v>
      </c>
      <c r="K25" s="448">
        <v>3886500</v>
      </c>
      <c r="L25" s="448">
        <v>0</v>
      </c>
      <c r="M25" s="532"/>
      <c r="N25" s="448">
        <v>0</v>
      </c>
      <c r="O25" s="575"/>
    </row>
    <row r="26" spans="1:15" s="450" customFormat="1" ht="31.2">
      <c r="A26" s="871"/>
      <c r="B26" s="869"/>
      <c r="C26" s="870"/>
      <c r="D26" s="873"/>
      <c r="E26" s="457" t="s">
        <v>691</v>
      </c>
      <c r="F26" s="462"/>
      <c r="G26" s="446">
        <f t="shared" si="0"/>
        <v>104000</v>
      </c>
      <c r="H26" s="446">
        <f t="shared" si="0"/>
        <v>102000</v>
      </c>
      <c r="I26" s="528">
        <f t="shared" si="2"/>
        <v>98.076923076923066</v>
      </c>
      <c r="J26" s="448">
        <v>104000</v>
      </c>
      <c r="K26" s="448">
        <v>102000</v>
      </c>
      <c r="L26" s="448">
        <v>0</v>
      </c>
      <c r="M26" s="532"/>
      <c r="N26" s="448">
        <v>0</v>
      </c>
      <c r="O26" s="575"/>
    </row>
    <row r="27" spans="1:15" s="450" customFormat="1" ht="31.2">
      <c r="A27" s="835"/>
      <c r="B27" s="850"/>
      <c r="C27" s="852"/>
      <c r="D27" s="874"/>
      <c r="E27" s="464" t="s">
        <v>692</v>
      </c>
      <c r="F27" s="462"/>
      <c r="G27" s="446">
        <f t="shared" si="0"/>
        <v>313000</v>
      </c>
      <c r="H27" s="446">
        <f t="shared" si="0"/>
        <v>282000</v>
      </c>
      <c r="I27" s="528">
        <f t="shared" si="2"/>
        <v>90.095846645367416</v>
      </c>
      <c r="J27" s="448">
        <v>313000</v>
      </c>
      <c r="K27" s="448">
        <f>266000+16000</f>
        <v>282000</v>
      </c>
      <c r="L27" s="448">
        <v>0</v>
      </c>
      <c r="M27" s="532"/>
      <c r="N27" s="448">
        <v>0</v>
      </c>
      <c r="O27" s="575"/>
    </row>
    <row r="28" spans="1:15" s="450" customFormat="1" ht="78">
      <c r="A28" s="834" t="s">
        <v>687</v>
      </c>
      <c r="B28" s="849" t="s">
        <v>170</v>
      </c>
      <c r="C28" s="851" t="s">
        <v>823</v>
      </c>
      <c r="D28" s="872" t="s">
        <v>169</v>
      </c>
      <c r="E28" s="465" t="s">
        <v>678</v>
      </c>
      <c r="F28" s="445" t="s">
        <v>679</v>
      </c>
      <c r="G28" s="446">
        <f t="shared" si="0"/>
        <v>6525500</v>
      </c>
      <c r="H28" s="446">
        <f t="shared" si="0"/>
        <v>5084213.55</v>
      </c>
      <c r="I28" s="528">
        <f t="shared" si="2"/>
        <v>77.9130112635047</v>
      </c>
      <c r="J28" s="460">
        <f>SUM(J30:J36)</f>
        <v>6525500</v>
      </c>
      <c r="K28" s="460">
        <f>SUM(K30:K36)</f>
        <v>5084213.55</v>
      </c>
      <c r="L28" s="448">
        <f>SUM(L32:L36)</f>
        <v>0</v>
      </c>
      <c r="M28" s="532"/>
      <c r="N28" s="448">
        <f>SUM(N32:N35)</f>
        <v>0</v>
      </c>
      <c r="O28" s="575"/>
    </row>
    <row r="29" spans="1:15" s="450" customFormat="1" ht="16.2">
      <c r="A29" s="871"/>
      <c r="B29" s="869"/>
      <c r="C29" s="870"/>
      <c r="D29" s="873"/>
      <c r="E29" s="466" t="s">
        <v>689</v>
      </c>
      <c r="F29" s="462"/>
      <c r="G29" s="446"/>
      <c r="H29" s="446">
        <f t="shared" si="0"/>
        <v>0</v>
      </c>
      <c r="I29" s="528"/>
      <c r="J29" s="448"/>
      <c r="K29" s="448"/>
      <c r="L29" s="448"/>
      <c r="M29" s="532"/>
      <c r="N29" s="448"/>
      <c r="O29" s="575"/>
    </row>
    <row r="30" spans="1:15" s="450" customFormat="1" ht="93.6">
      <c r="A30" s="871"/>
      <c r="B30" s="869"/>
      <c r="C30" s="870"/>
      <c r="D30" s="873"/>
      <c r="E30" s="457" t="s">
        <v>693</v>
      </c>
      <c r="F30" s="462"/>
      <c r="G30" s="446">
        <f t="shared" si="0"/>
        <v>1107000</v>
      </c>
      <c r="H30" s="446">
        <f t="shared" si="0"/>
        <v>1100000</v>
      </c>
      <c r="I30" s="528">
        <f t="shared" si="2"/>
        <v>99.367660343270103</v>
      </c>
      <c r="J30" s="448">
        <v>1107000</v>
      </c>
      <c r="K30" s="448">
        <f>219000+51000+810000+10000+10000</f>
        <v>1100000</v>
      </c>
      <c r="L30" s="448">
        <v>0</v>
      </c>
      <c r="M30" s="532"/>
      <c r="N30" s="448">
        <v>0</v>
      </c>
      <c r="O30" s="575"/>
    </row>
    <row r="31" spans="1:15" s="450" customFormat="1" ht="93.6" customHeight="1">
      <c r="A31" s="871"/>
      <c r="B31" s="869"/>
      <c r="C31" s="870"/>
      <c r="D31" s="873"/>
      <c r="E31" s="457" t="s">
        <v>694</v>
      </c>
      <c r="F31" s="462"/>
      <c r="G31" s="446">
        <f t="shared" si="0"/>
        <v>1600000</v>
      </c>
      <c r="H31" s="446">
        <f t="shared" si="0"/>
        <v>1324793</v>
      </c>
      <c r="I31" s="528">
        <f t="shared" si="2"/>
        <v>82.799562500000008</v>
      </c>
      <c r="J31" s="448">
        <v>1600000</v>
      </c>
      <c r="K31" s="448">
        <f>1284793+10000+20000+10000</f>
        <v>1324793</v>
      </c>
      <c r="L31" s="448">
        <v>0</v>
      </c>
      <c r="M31" s="532"/>
      <c r="N31" s="448">
        <v>0</v>
      </c>
      <c r="O31" s="575"/>
    </row>
    <row r="32" spans="1:15" s="450" customFormat="1" ht="202.8">
      <c r="A32" s="871"/>
      <c r="B32" s="869"/>
      <c r="C32" s="870"/>
      <c r="D32" s="873"/>
      <c r="E32" s="464" t="s">
        <v>695</v>
      </c>
      <c r="F32" s="462"/>
      <c r="G32" s="446">
        <f t="shared" si="0"/>
        <v>1500000</v>
      </c>
      <c r="H32" s="446">
        <f t="shared" si="0"/>
        <v>1202900.55</v>
      </c>
      <c r="I32" s="528">
        <f t="shared" si="2"/>
        <v>80.193370000000002</v>
      </c>
      <c r="J32" s="448">
        <v>1500000</v>
      </c>
      <c r="K32" s="448">
        <v>1202900.55</v>
      </c>
      <c r="L32" s="448">
        <v>0</v>
      </c>
      <c r="M32" s="532"/>
      <c r="N32" s="448">
        <v>0</v>
      </c>
      <c r="O32" s="575"/>
    </row>
    <row r="33" spans="1:15" s="450" customFormat="1" ht="93.6">
      <c r="A33" s="871"/>
      <c r="B33" s="869"/>
      <c r="C33" s="870"/>
      <c r="D33" s="873"/>
      <c r="E33" s="464" t="s">
        <v>696</v>
      </c>
      <c r="F33" s="462"/>
      <c r="G33" s="446">
        <f t="shared" si="0"/>
        <v>393000</v>
      </c>
      <c r="H33" s="446">
        <f t="shared" si="0"/>
        <v>348000</v>
      </c>
      <c r="I33" s="528">
        <f t="shared" si="2"/>
        <v>88.549618320610691</v>
      </c>
      <c r="J33" s="448">
        <v>393000</v>
      </c>
      <c r="K33" s="448">
        <f>304000+20000+16000+4000+4000</f>
        <v>348000</v>
      </c>
      <c r="L33" s="448">
        <v>0</v>
      </c>
      <c r="M33" s="532"/>
      <c r="N33" s="448">
        <v>0</v>
      </c>
      <c r="O33" s="575"/>
    </row>
    <row r="34" spans="1:15" s="450" customFormat="1" ht="135.6" customHeight="1">
      <c r="A34" s="871"/>
      <c r="B34" s="869"/>
      <c r="C34" s="870"/>
      <c r="D34" s="873"/>
      <c r="E34" s="464" t="s">
        <v>697</v>
      </c>
      <c r="F34" s="462"/>
      <c r="G34" s="446">
        <f t="shared" si="0"/>
        <v>600000</v>
      </c>
      <c r="H34" s="446">
        <f t="shared" si="0"/>
        <v>504000</v>
      </c>
      <c r="I34" s="528">
        <f t="shared" si="2"/>
        <v>84</v>
      </c>
      <c r="J34" s="448">
        <v>600000</v>
      </c>
      <c r="K34" s="448">
        <v>504000</v>
      </c>
      <c r="L34" s="448">
        <v>0</v>
      </c>
      <c r="M34" s="532"/>
      <c r="N34" s="448">
        <v>0</v>
      </c>
      <c r="O34" s="575"/>
    </row>
    <row r="35" spans="1:15" s="450" customFormat="1" ht="150" customHeight="1">
      <c r="A35" s="871"/>
      <c r="B35" s="869"/>
      <c r="C35" s="870"/>
      <c r="D35" s="873"/>
      <c r="E35" s="464" t="s">
        <v>698</v>
      </c>
      <c r="F35" s="462"/>
      <c r="G35" s="446">
        <f t="shared" si="0"/>
        <v>1225500</v>
      </c>
      <c r="H35" s="446">
        <f t="shared" si="0"/>
        <v>560000</v>
      </c>
      <c r="I35" s="528">
        <f t="shared" si="2"/>
        <v>45.695634434924521</v>
      </c>
      <c r="J35" s="448">
        <v>1225500</v>
      </c>
      <c r="K35" s="448">
        <f>440000+80000+40000</f>
        <v>560000</v>
      </c>
      <c r="L35" s="448"/>
      <c r="M35" s="532"/>
      <c r="N35" s="458">
        <v>0</v>
      </c>
      <c r="O35" s="575"/>
    </row>
    <row r="36" spans="1:15" s="450" customFormat="1" ht="62.4">
      <c r="A36" s="871"/>
      <c r="B36" s="850"/>
      <c r="C36" s="852"/>
      <c r="D36" s="873"/>
      <c r="E36" s="464" t="s">
        <v>699</v>
      </c>
      <c r="F36" s="467"/>
      <c r="G36" s="446">
        <f t="shared" si="0"/>
        <v>100000</v>
      </c>
      <c r="H36" s="446">
        <f t="shared" si="0"/>
        <v>44520</v>
      </c>
      <c r="I36" s="528">
        <f t="shared" si="2"/>
        <v>44.519999999999996</v>
      </c>
      <c r="J36" s="458">
        <v>100000</v>
      </c>
      <c r="K36" s="458">
        <v>44520</v>
      </c>
      <c r="L36" s="458">
        <v>0</v>
      </c>
      <c r="M36" s="532"/>
      <c r="N36" s="458">
        <v>0</v>
      </c>
      <c r="O36" s="575"/>
    </row>
    <row r="37" spans="1:15" s="450" customFormat="1" ht="62.4">
      <c r="A37" s="456" t="s">
        <v>687</v>
      </c>
      <c r="B37" s="500" t="s">
        <v>170</v>
      </c>
      <c r="C37" s="555" t="s">
        <v>823</v>
      </c>
      <c r="D37" s="581" t="s">
        <v>169</v>
      </c>
      <c r="E37" s="468" t="s">
        <v>700</v>
      </c>
      <c r="F37" s="445" t="s">
        <v>701</v>
      </c>
      <c r="G37" s="446">
        <f t="shared" si="0"/>
        <v>500000</v>
      </c>
      <c r="H37" s="446">
        <f t="shared" si="0"/>
        <v>480000</v>
      </c>
      <c r="I37" s="528">
        <f t="shared" si="2"/>
        <v>96</v>
      </c>
      <c r="J37" s="448">
        <v>500000</v>
      </c>
      <c r="K37" s="448">
        <f>380000+40000+60000</f>
        <v>480000</v>
      </c>
      <c r="L37" s="448">
        <v>0</v>
      </c>
      <c r="M37" s="532"/>
      <c r="N37" s="448">
        <v>0</v>
      </c>
      <c r="O37" s="575"/>
    </row>
    <row r="38" spans="1:15" s="450" customFormat="1" ht="31.2">
      <c r="A38" s="456" t="s">
        <v>687</v>
      </c>
      <c r="B38" s="500" t="s">
        <v>170</v>
      </c>
      <c r="C38" s="555" t="s">
        <v>823</v>
      </c>
      <c r="D38" s="581" t="s">
        <v>169</v>
      </c>
      <c r="E38" s="464" t="s">
        <v>702</v>
      </c>
      <c r="F38" s="445" t="s">
        <v>703</v>
      </c>
      <c r="G38" s="446">
        <f t="shared" si="0"/>
        <v>2775000</v>
      </c>
      <c r="H38" s="446">
        <f t="shared" si="0"/>
        <v>2655000</v>
      </c>
      <c r="I38" s="528">
        <f t="shared" si="2"/>
        <v>95.675675675675677</v>
      </c>
      <c r="J38" s="448">
        <f>2550000+225000</f>
        <v>2775000</v>
      </c>
      <c r="K38" s="448">
        <f>2370000+60000+75000+30000+105000+15000</f>
        <v>2655000</v>
      </c>
      <c r="L38" s="448">
        <v>0</v>
      </c>
      <c r="M38" s="532"/>
      <c r="N38" s="448">
        <v>0</v>
      </c>
      <c r="O38" s="575"/>
    </row>
    <row r="39" spans="1:15" s="450" customFormat="1" ht="31.2">
      <c r="A39" s="444" t="s">
        <v>704</v>
      </c>
      <c r="B39" s="500" t="s">
        <v>181</v>
      </c>
      <c r="C39" s="555" t="s">
        <v>824</v>
      </c>
      <c r="D39" s="574" t="s">
        <v>180</v>
      </c>
      <c r="E39" s="504" t="s">
        <v>705</v>
      </c>
      <c r="F39" s="445" t="s">
        <v>706</v>
      </c>
      <c r="G39" s="446">
        <f t="shared" si="0"/>
        <v>494000</v>
      </c>
      <c r="H39" s="446">
        <f t="shared" si="0"/>
        <v>311948</v>
      </c>
      <c r="I39" s="528">
        <f t="shared" si="2"/>
        <v>63.147368421052633</v>
      </c>
      <c r="J39" s="448">
        <v>494000</v>
      </c>
      <c r="K39" s="448">
        <f>301948+5000+5000</f>
        <v>311948</v>
      </c>
      <c r="L39" s="448">
        <v>0</v>
      </c>
      <c r="M39" s="532"/>
      <c r="N39" s="448">
        <v>0</v>
      </c>
      <c r="O39" s="575"/>
    </row>
    <row r="40" spans="1:15" s="450" customFormat="1" ht="46.8">
      <c r="A40" s="469" t="s">
        <v>707</v>
      </c>
      <c r="B40" s="501" t="s">
        <v>187</v>
      </c>
      <c r="C40" s="557" t="s">
        <v>825</v>
      </c>
      <c r="D40" s="582" t="s">
        <v>186</v>
      </c>
      <c r="E40" s="823" t="s">
        <v>708</v>
      </c>
      <c r="F40" s="841" t="s">
        <v>709</v>
      </c>
      <c r="G40" s="446">
        <f t="shared" si="0"/>
        <v>318500</v>
      </c>
      <c r="H40" s="446">
        <f t="shared" si="0"/>
        <v>298900</v>
      </c>
      <c r="I40" s="528">
        <f t="shared" si="2"/>
        <v>93.84615384615384</v>
      </c>
      <c r="J40" s="448">
        <v>318500</v>
      </c>
      <c r="K40" s="448">
        <v>298900</v>
      </c>
      <c r="L40" s="448">
        <v>0</v>
      </c>
      <c r="M40" s="532"/>
      <c r="N40" s="448">
        <v>0</v>
      </c>
      <c r="O40" s="575"/>
    </row>
    <row r="41" spans="1:15" s="450" customFormat="1" ht="31.2">
      <c r="A41" s="444" t="s">
        <v>710</v>
      </c>
      <c r="B41" s="500" t="s">
        <v>476</v>
      </c>
      <c r="C41" s="555" t="s">
        <v>825</v>
      </c>
      <c r="D41" s="583" t="s">
        <v>479</v>
      </c>
      <c r="E41" s="853"/>
      <c r="F41" s="855"/>
      <c r="G41" s="446">
        <f t="shared" si="0"/>
        <v>196500</v>
      </c>
      <c r="H41" s="446">
        <f t="shared" si="0"/>
        <v>172982.59</v>
      </c>
      <c r="I41" s="528">
        <f t="shared" si="2"/>
        <v>88.031852417302801</v>
      </c>
      <c r="J41" s="448">
        <v>196500</v>
      </c>
      <c r="K41" s="448">
        <v>172982.59</v>
      </c>
      <c r="L41" s="448">
        <v>0</v>
      </c>
      <c r="M41" s="532"/>
      <c r="N41" s="448">
        <v>0</v>
      </c>
      <c r="O41" s="575"/>
    </row>
    <row r="42" spans="1:15" s="450" customFormat="1" ht="78">
      <c r="A42" s="444" t="s">
        <v>711</v>
      </c>
      <c r="B42" s="500" t="s">
        <v>292</v>
      </c>
      <c r="C42" s="555" t="s">
        <v>825</v>
      </c>
      <c r="D42" s="582" t="s">
        <v>712</v>
      </c>
      <c r="E42" s="853"/>
      <c r="F42" s="855"/>
      <c r="G42" s="446">
        <f t="shared" si="0"/>
        <v>2007600</v>
      </c>
      <c r="H42" s="446">
        <f t="shared" si="0"/>
        <v>1989262.09</v>
      </c>
      <c r="I42" s="528">
        <f t="shared" si="2"/>
        <v>99.086575513050406</v>
      </c>
      <c r="J42" s="448">
        <v>1970600</v>
      </c>
      <c r="K42" s="448">
        <v>1952262.09</v>
      </c>
      <c r="L42" s="448">
        <v>37000</v>
      </c>
      <c r="M42" s="532">
        <v>37000</v>
      </c>
      <c r="N42" s="448">
        <v>37000</v>
      </c>
      <c r="O42" s="449">
        <v>37000</v>
      </c>
    </row>
    <row r="43" spans="1:15" s="450" customFormat="1" ht="62.4">
      <c r="A43" s="444" t="s">
        <v>713</v>
      </c>
      <c r="B43" s="500" t="s">
        <v>191</v>
      </c>
      <c r="C43" s="555" t="s">
        <v>825</v>
      </c>
      <c r="D43" s="574" t="s">
        <v>190</v>
      </c>
      <c r="E43" s="854"/>
      <c r="F43" s="842"/>
      <c r="G43" s="446">
        <f t="shared" si="0"/>
        <v>190000</v>
      </c>
      <c r="H43" s="446">
        <f t="shared" si="0"/>
        <v>145800</v>
      </c>
      <c r="I43" s="528">
        <f t="shared" si="2"/>
        <v>76.736842105263165</v>
      </c>
      <c r="J43" s="448">
        <v>190000</v>
      </c>
      <c r="K43" s="448">
        <v>145800</v>
      </c>
      <c r="L43" s="448">
        <v>0</v>
      </c>
      <c r="M43" s="532"/>
      <c r="N43" s="448">
        <v>0</v>
      </c>
      <c r="O43" s="575"/>
    </row>
    <row r="44" spans="1:15" s="450" customFormat="1" ht="62.4">
      <c r="A44" s="444" t="s">
        <v>714</v>
      </c>
      <c r="B44" s="500" t="s">
        <v>525</v>
      </c>
      <c r="C44" s="555" t="s">
        <v>826</v>
      </c>
      <c r="D44" s="584" t="s">
        <v>526</v>
      </c>
      <c r="E44" s="505" t="s">
        <v>715</v>
      </c>
      <c r="F44" s="445" t="s">
        <v>716</v>
      </c>
      <c r="G44" s="446">
        <f t="shared" si="0"/>
        <v>910000</v>
      </c>
      <c r="H44" s="446">
        <f t="shared" si="0"/>
        <v>910000</v>
      </c>
      <c r="I44" s="528">
        <f t="shared" si="2"/>
        <v>100</v>
      </c>
      <c r="J44" s="448">
        <v>0</v>
      </c>
      <c r="K44" s="448">
        <v>0</v>
      </c>
      <c r="L44" s="448">
        <v>910000</v>
      </c>
      <c r="M44" s="532">
        <f>254117.33+268779.89+387102.78</f>
        <v>910000</v>
      </c>
      <c r="N44" s="448">
        <v>910000</v>
      </c>
      <c r="O44" s="449">
        <f>254117.33+268779.89+387102.78</f>
        <v>910000</v>
      </c>
    </row>
    <row r="45" spans="1:15" s="450" customFormat="1" ht="31.2">
      <c r="A45" s="444" t="s">
        <v>717</v>
      </c>
      <c r="B45" s="500" t="s">
        <v>197</v>
      </c>
      <c r="C45" s="555" t="s">
        <v>827</v>
      </c>
      <c r="D45" s="574" t="s">
        <v>196</v>
      </c>
      <c r="E45" s="823" t="s">
        <v>718</v>
      </c>
      <c r="F45" s="841" t="s">
        <v>719</v>
      </c>
      <c r="G45" s="446">
        <f t="shared" si="0"/>
        <v>130000</v>
      </c>
      <c r="H45" s="446">
        <f t="shared" si="0"/>
        <v>91506.83</v>
      </c>
      <c r="I45" s="528">
        <f t="shared" si="2"/>
        <v>70.389869230769236</v>
      </c>
      <c r="J45" s="448">
        <v>0</v>
      </c>
      <c r="K45" s="448"/>
      <c r="L45" s="448">
        <v>130000</v>
      </c>
      <c r="M45" s="532">
        <v>91506.83</v>
      </c>
      <c r="N45" s="448">
        <v>0</v>
      </c>
      <c r="O45" s="575"/>
    </row>
    <row r="46" spans="1:15" s="450" customFormat="1" ht="31.2">
      <c r="A46" s="444" t="s">
        <v>720</v>
      </c>
      <c r="B46" s="500" t="s">
        <v>199</v>
      </c>
      <c r="C46" s="555" t="s">
        <v>827</v>
      </c>
      <c r="D46" s="574" t="s">
        <v>198</v>
      </c>
      <c r="E46" s="854"/>
      <c r="F46" s="842"/>
      <c r="G46" s="446">
        <f t="shared" si="0"/>
        <v>21201700</v>
      </c>
      <c r="H46" s="446">
        <f t="shared" si="0"/>
        <v>20866195.469999999</v>
      </c>
      <c r="I46" s="528">
        <f t="shared" si="2"/>
        <v>98.417558356169536</v>
      </c>
      <c r="J46" s="448">
        <v>20601700</v>
      </c>
      <c r="K46" s="448">
        <v>20266509.84</v>
      </c>
      <c r="L46" s="448">
        <v>600000</v>
      </c>
      <c r="M46" s="532">
        <v>599685.63</v>
      </c>
      <c r="N46" s="448">
        <v>600000</v>
      </c>
      <c r="O46" s="449">
        <v>599685.63</v>
      </c>
    </row>
    <row r="47" spans="1:15" s="450" customFormat="1" ht="140.4">
      <c r="A47" s="444" t="s">
        <v>720</v>
      </c>
      <c r="B47" s="500" t="s">
        <v>199</v>
      </c>
      <c r="C47" s="555" t="s">
        <v>827</v>
      </c>
      <c r="D47" s="574" t="s">
        <v>198</v>
      </c>
      <c r="E47" s="504" t="s">
        <v>721</v>
      </c>
      <c r="F47" s="445" t="s">
        <v>722</v>
      </c>
      <c r="G47" s="446">
        <f t="shared" si="0"/>
        <v>100000</v>
      </c>
      <c r="H47" s="446">
        <f t="shared" si="0"/>
        <v>0</v>
      </c>
      <c r="I47" s="528">
        <f t="shared" si="2"/>
        <v>0</v>
      </c>
      <c r="J47" s="448">
        <v>100000</v>
      </c>
      <c r="K47" s="448"/>
      <c r="L47" s="448">
        <v>0</v>
      </c>
      <c r="M47" s="532"/>
      <c r="N47" s="448">
        <v>0</v>
      </c>
      <c r="O47" s="575"/>
    </row>
    <row r="48" spans="1:15" s="450" customFormat="1" ht="62.4">
      <c r="A48" s="470" t="s">
        <v>723</v>
      </c>
      <c r="B48" s="516" t="s">
        <v>490</v>
      </c>
      <c r="C48" s="558" t="s">
        <v>827</v>
      </c>
      <c r="D48" s="585" t="s">
        <v>491</v>
      </c>
      <c r="E48" s="503" t="s">
        <v>724</v>
      </c>
      <c r="F48" s="462" t="s">
        <v>725</v>
      </c>
      <c r="G48" s="446">
        <f t="shared" si="0"/>
        <v>790000</v>
      </c>
      <c r="H48" s="446">
        <f t="shared" si="0"/>
        <v>790000</v>
      </c>
      <c r="I48" s="528">
        <f t="shared" si="2"/>
        <v>100</v>
      </c>
      <c r="J48" s="448">
        <v>790000</v>
      </c>
      <c r="K48" s="448">
        <f>290000+290000+210000</f>
        <v>790000</v>
      </c>
      <c r="L48" s="448">
        <v>0</v>
      </c>
      <c r="M48" s="532"/>
      <c r="N48" s="448">
        <v>0</v>
      </c>
      <c r="O48" s="575"/>
    </row>
    <row r="49" spans="1:15" s="450" customFormat="1" ht="42.6" customHeight="1">
      <c r="A49" s="444" t="s">
        <v>717</v>
      </c>
      <c r="B49" s="500" t="s">
        <v>197</v>
      </c>
      <c r="C49" s="555" t="s">
        <v>827</v>
      </c>
      <c r="D49" s="574" t="s">
        <v>196</v>
      </c>
      <c r="E49" s="503" t="s">
        <v>726</v>
      </c>
      <c r="F49" s="445" t="s">
        <v>727</v>
      </c>
      <c r="G49" s="446">
        <f t="shared" si="0"/>
        <v>790000</v>
      </c>
      <c r="H49" s="446">
        <f t="shared" si="0"/>
        <v>723042.86</v>
      </c>
      <c r="I49" s="528">
        <f t="shared" si="2"/>
        <v>91.524412658227845</v>
      </c>
      <c r="J49" s="448">
        <v>790000</v>
      </c>
      <c r="K49" s="448">
        <v>723042.86</v>
      </c>
      <c r="L49" s="448">
        <v>0</v>
      </c>
      <c r="M49" s="532"/>
      <c r="N49" s="448">
        <v>0</v>
      </c>
      <c r="O49" s="575"/>
    </row>
    <row r="50" spans="1:15" s="450" customFormat="1" ht="156">
      <c r="A50" s="471" t="s">
        <v>728</v>
      </c>
      <c r="B50" s="517" t="s">
        <v>405</v>
      </c>
      <c r="C50" s="559" t="s">
        <v>828</v>
      </c>
      <c r="D50" s="586" t="s">
        <v>729</v>
      </c>
      <c r="E50" s="503" t="s">
        <v>724</v>
      </c>
      <c r="F50" s="462" t="s">
        <v>725</v>
      </c>
      <c r="G50" s="446">
        <f t="shared" si="0"/>
        <v>3040049</v>
      </c>
      <c r="H50" s="446">
        <f t="shared" si="0"/>
        <v>3040017.75</v>
      </c>
      <c r="I50" s="528">
        <f t="shared" si="2"/>
        <v>99.998972056042518</v>
      </c>
      <c r="J50" s="448">
        <v>3040049</v>
      </c>
      <c r="K50" s="448">
        <v>3040017.75</v>
      </c>
      <c r="L50" s="448"/>
      <c r="M50" s="532"/>
      <c r="N50" s="448">
        <v>0</v>
      </c>
      <c r="O50" s="575"/>
    </row>
    <row r="51" spans="1:15" s="450" customFormat="1" ht="125.4" customHeight="1">
      <c r="A51" s="471" t="s">
        <v>730</v>
      </c>
      <c r="B51" s="517" t="s">
        <v>435</v>
      </c>
      <c r="C51" s="559" t="s">
        <v>826</v>
      </c>
      <c r="D51" s="587" t="s">
        <v>455</v>
      </c>
      <c r="E51" s="472" t="s">
        <v>731</v>
      </c>
      <c r="F51" s="445" t="s">
        <v>732</v>
      </c>
      <c r="G51" s="446">
        <f t="shared" si="0"/>
        <v>877218</v>
      </c>
      <c r="H51" s="446">
        <f t="shared" si="0"/>
        <v>820000</v>
      </c>
      <c r="I51" s="528">
        <f t="shared" si="2"/>
        <v>93.477334026433567</v>
      </c>
      <c r="J51" s="448">
        <v>0</v>
      </c>
      <c r="K51" s="448">
        <v>0</v>
      </c>
      <c r="L51" s="448">
        <v>877218</v>
      </c>
      <c r="M51" s="532">
        <v>820000</v>
      </c>
      <c r="N51" s="448">
        <v>877218</v>
      </c>
      <c r="O51" s="449">
        <v>820000</v>
      </c>
    </row>
    <row r="52" spans="1:15" s="450" customFormat="1" ht="62.4">
      <c r="A52" s="856" t="s">
        <v>733</v>
      </c>
      <c r="B52" s="862" t="s">
        <v>205</v>
      </c>
      <c r="C52" s="865" t="s">
        <v>829</v>
      </c>
      <c r="D52" s="859" t="s">
        <v>734</v>
      </c>
      <c r="E52" s="464" t="s">
        <v>735</v>
      </c>
      <c r="F52" s="445" t="s">
        <v>736</v>
      </c>
      <c r="G52" s="446">
        <f t="shared" si="0"/>
        <v>100000</v>
      </c>
      <c r="H52" s="446">
        <f t="shared" si="0"/>
        <v>21000</v>
      </c>
      <c r="I52" s="528">
        <f t="shared" si="2"/>
        <v>21</v>
      </c>
      <c r="J52" s="448">
        <v>100000</v>
      </c>
      <c r="K52" s="448">
        <v>21000</v>
      </c>
      <c r="L52" s="448">
        <v>0</v>
      </c>
      <c r="M52" s="532"/>
      <c r="N52" s="448">
        <v>0</v>
      </c>
      <c r="O52" s="575"/>
    </row>
    <row r="53" spans="1:15" s="450" customFormat="1" ht="46.2" customHeight="1">
      <c r="A53" s="857"/>
      <c r="B53" s="863"/>
      <c r="C53" s="866"/>
      <c r="D53" s="860"/>
      <c r="E53" s="464" t="s">
        <v>737</v>
      </c>
      <c r="F53" s="445" t="s">
        <v>738</v>
      </c>
      <c r="G53" s="446">
        <f t="shared" si="0"/>
        <v>50000</v>
      </c>
      <c r="H53" s="446">
        <f t="shared" si="0"/>
        <v>0</v>
      </c>
      <c r="I53" s="528">
        <f t="shared" si="2"/>
        <v>0</v>
      </c>
      <c r="J53" s="448">
        <v>50000</v>
      </c>
      <c r="K53" s="448"/>
      <c r="L53" s="448">
        <v>0</v>
      </c>
      <c r="M53" s="532"/>
      <c r="N53" s="448">
        <v>0</v>
      </c>
      <c r="O53" s="575"/>
    </row>
    <row r="54" spans="1:15" s="450" customFormat="1" ht="62.4">
      <c r="A54" s="858"/>
      <c r="B54" s="864"/>
      <c r="C54" s="867"/>
      <c r="D54" s="861"/>
      <c r="E54" s="464" t="s">
        <v>739</v>
      </c>
      <c r="F54" s="445" t="s">
        <v>740</v>
      </c>
      <c r="G54" s="446">
        <f t="shared" si="0"/>
        <v>100000</v>
      </c>
      <c r="H54" s="446">
        <f t="shared" si="0"/>
        <v>97340</v>
      </c>
      <c r="I54" s="528">
        <f t="shared" si="2"/>
        <v>97.34</v>
      </c>
      <c r="J54" s="448">
        <v>100000</v>
      </c>
      <c r="K54" s="448">
        <v>97340</v>
      </c>
      <c r="L54" s="448">
        <v>0</v>
      </c>
      <c r="M54" s="532"/>
      <c r="N54" s="448">
        <v>0</v>
      </c>
      <c r="O54" s="575"/>
    </row>
    <row r="55" spans="1:15" s="450" customFormat="1" ht="46.8">
      <c r="A55" s="473" t="s">
        <v>741</v>
      </c>
      <c r="B55" s="518" t="s">
        <v>213</v>
      </c>
      <c r="C55" s="560" t="s">
        <v>830</v>
      </c>
      <c r="D55" s="588" t="s">
        <v>212</v>
      </c>
      <c r="E55" s="464" t="s">
        <v>742</v>
      </c>
      <c r="F55" s="445" t="s">
        <v>743</v>
      </c>
      <c r="G55" s="446">
        <f t="shared" si="0"/>
        <v>170000</v>
      </c>
      <c r="H55" s="446">
        <f t="shared" si="0"/>
        <v>108070</v>
      </c>
      <c r="I55" s="528">
        <f t="shared" si="2"/>
        <v>63.570588235294125</v>
      </c>
      <c r="J55" s="448">
        <v>0</v>
      </c>
      <c r="K55" s="448"/>
      <c r="L55" s="448">
        <f>95000+75000</f>
        <v>170000</v>
      </c>
      <c r="M55" s="532">
        <f>34030+74040</f>
        <v>108070</v>
      </c>
      <c r="N55" s="448">
        <v>170000</v>
      </c>
      <c r="O55" s="449">
        <f>34030+74040</f>
        <v>108070</v>
      </c>
    </row>
    <row r="56" spans="1:15" s="450" customFormat="1" ht="46.8">
      <c r="A56" s="834" t="s">
        <v>744</v>
      </c>
      <c r="B56" s="849" t="s">
        <v>221</v>
      </c>
      <c r="C56" s="851" t="s">
        <v>831</v>
      </c>
      <c r="D56" s="836" t="s">
        <v>220</v>
      </c>
      <c r="E56" s="474" t="s">
        <v>745</v>
      </c>
      <c r="F56" s="445" t="s">
        <v>746</v>
      </c>
      <c r="G56" s="446">
        <f t="shared" si="0"/>
        <v>6074000</v>
      </c>
      <c r="H56" s="446">
        <f t="shared" si="0"/>
        <v>5390807.3700000001</v>
      </c>
      <c r="I56" s="528">
        <f t="shared" si="2"/>
        <v>88.752179288771814</v>
      </c>
      <c r="J56" s="448">
        <v>6074000</v>
      </c>
      <c r="K56" s="448">
        <v>5390807.3700000001</v>
      </c>
      <c r="L56" s="448">
        <v>0</v>
      </c>
      <c r="M56" s="532"/>
      <c r="N56" s="448">
        <v>0</v>
      </c>
      <c r="O56" s="575"/>
    </row>
    <row r="57" spans="1:15" s="450" customFormat="1" ht="62.4">
      <c r="A57" s="835"/>
      <c r="B57" s="850"/>
      <c r="C57" s="852"/>
      <c r="D57" s="837"/>
      <c r="E57" s="472" t="s">
        <v>747</v>
      </c>
      <c r="F57" s="445" t="s">
        <v>748</v>
      </c>
      <c r="G57" s="446">
        <f t="shared" si="0"/>
        <v>619100</v>
      </c>
      <c r="H57" s="446">
        <f t="shared" si="0"/>
        <v>619100</v>
      </c>
      <c r="I57" s="528">
        <f t="shared" si="2"/>
        <v>100</v>
      </c>
      <c r="J57" s="448">
        <v>619100</v>
      </c>
      <c r="K57" s="448">
        <v>619100</v>
      </c>
      <c r="L57" s="448"/>
      <c r="M57" s="532"/>
      <c r="N57" s="448">
        <v>0</v>
      </c>
      <c r="O57" s="575"/>
    </row>
    <row r="58" spans="1:15" s="450" customFormat="1" ht="46.8">
      <c r="A58" s="471" t="s">
        <v>749</v>
      </c>
      <c r="B58" s="517" t="s">
        <v>503</v>
      </c>
      <c r="C58" s="559" t="s">
        <v>832</v>
      </c>
      <c r="D58" s="589" t="s">
        <v>750</v>
      </c>
      <c r="E58" s="475" t="s">
        <v>751</v>
      </c>
      <c r="F58" s="445" t="s">
        <v>752</v>
      </c>
      <c r="G58" s="446">
        <f t="shared" si="0"/>
        <v>130500</v>
      </c>
      <c r="H58" s="446">
        <f t="shared" si="0"/>
        <v>130490</v>
      </c>
      <c r="I58" s="528">
        <f t="shared" si="2"/>
        <v>99.99233716475095</v>
      </c>
      <c r="J58" s="458">
        <v>130500</v>
      </c>
      <c r="K58" s="476">
        <f>28400+92290+9800</f>
        <v>130490</v>
      </c>
      <c r="L58" s="476">
        <v>0</v>
      </c>
      <c r="M58" s="532"/>
      <c r="N58" s="476">
        <v>0</v>
      </c>
      <c r="O58" s="575"/>
    </row>
    <row r="59" spans="1:15" s="450" customFormat="1" ht="93.6">
      <c r="A59" s="473" t="s">
        <v>753</v>
      </c>
      <c r="B59" s="518" t="s">
        <v>395</v>
      </c>
      <c r="C59" s="560" t="s">
        <v>833</v>
      </c>
      <c r="D59" s="588" t="s">
        <v>754</v>
      </c>
      <c r="E59" s="503" t="s">
        <v>755</v>
      </c>
      <c r="F59" s="445" t="s">
        <v>756</v>
      </c>
      <c r="G59" s="446">
        <f t="shared" si="0"/>
        <v>300000</v>
      </c>
      <c r="H59" s="446">
        <f t="shared" si="0"/>
        <v>240103.94</v>
      </c>
      <c r="I59" s="528">
        <f t="shared" si="2"/>
        <v>80.03464666666666</v>
      </c>
      <c r="J59" s="448">
        <v>0</v>
      </c>
      <c r="K59" s="448"/>
      <c r="L59" s="448">
        <v>300000</v>
      </c>
      <c r="M59" s="532">
        <f>150300.54+43209.24+46594.16</f>
        <v>240103.94</v>
      </c>
      <c r="N59" s="448">
        <v>300000</v>
      </c>
      <c r="O59" s="449">
        <f>150300.54+43209.24+46594.16</f>
        <v>240103.94</v>
      </c>
    </row>
    <row r="60" spans="1:15" s="450" customFormat="1" ht="62.4">
      <c r="A60" s="473" t="s">
        <v>757</v>
      </c>
      <c r="B60" s="518" t="s">
        <v>225</v>
      </c>
      <c r="C60" s="560" t="s">
        <v>833</v>
      </c>
      <c r="D60" s="590" t="s">
        <v>758</v>
      </c>
      <c r="E60" s="503" t="s">
        <v>759</v>
      </c>
      <c r="F60" s="445" t="s">
        <v>760</v>
      </c>
      <c r="G60" s="446">
        <f t="shared" si="0"/>
        <v>1400400</v>
      </c>
      <c r="H60" s="446">
        <f t="shared" si="0"/>
        <v>1400400</v>
      </c>
      <c r="I60" s="528">
        <f t="shared" si="2"/>
        <v>100</v>
      </c>
      <c r="J60" s="448"/>
      <c r="K60" s="448"/>
      <c r="L60" s="448">
        <v>1400400</v>
      </c>
      <c r="M60" s="532">
        <v>1400400</v>
      </c>
      <c r="N60" s="448">
        <v>1400400</v>
      </c>
      <c r="O60" s="449">
        <v>1400400</v>
      </c>
    </row>
    <row r="61" spans="1:15" s="450" customFormat="1" ht="46.8">
      <c r="A61" s="834" t="s">
        <v>761</v>
      </c>
      <c r="B61" s="849" t="s">
        <v>231</v>
      </c>
      <c r="C61" s="851" t="s">
        <v>833</v>
      </c>
      <c r="D61" s="836" t="s">
        <v>762</v>
      </c>
      <c r="E61" s="503" t="s">
        <v>763</v>
      </c>
      <c r="F61" s="445" t="s">
        <v>764</v>
      </c>
      <c r="G61" s="446">
        <f t="shared" si="0"/>
        <v>200000</v>
      </c>
      <c r="H61" s="446">
        <f t="shared" si="0"/>
        <v>49750</v>
      </c>
      <c r="I61" s="528">
        <f t="shared" si="2"/>
        <v>24.875</v>
      </c>
      <c r="J61" s="448">
        <v>200000</v>
      </c>
      <c r="K61" s="448">
        <v>49750</v>
      </c>
      <c r="L61" s="448">
        <v>0</v>
      </c>
      <c r="M61" s="532"/>
      <c r="N61" s="448">
        <v>0</v>
      </c>
      <c r="O61" s="575"/>
    </row>
    <row r="62" spans="1:15" s="450" customFormat="1" ht="62.4">
      <c r="A62" s="835"/>
      <c r="B62" s="850"/>
      <c r="C62" s="852"/>
      <c r="D62" s="837"/>
      <c r="E62" s="474" t="s">
        <v>765</v>
      </c>
      <c r="F62" s="445" t="s">
        <v>766</v>
      </c>
      <c r="G62" s="446">
        <f t="shared" si="0"/>
        <v>150000</v>
      </c>
      <c r="H62" s="446">
        <f t="shared" si="0"/>
        <v>0</v>
      </c>
      <c r="I62" s="528">
        <f t="shared" si="2"/>
        <v>0</v>
      </c>
      <c r="J62" s="448">
        <v>150000</v>
      </c>
      <c r="K62" s="448"/>
      <c r="L62" s="448">
        <v>0</v>
      </c>
      <c r="M62" s="532"/>
      <c r="N62" s="448">
        <v>0</v>
      </c>
      <c r="O62" s="575"/>
    </row>
    <row r="63" spans="1:15" s="450" customFormat="1" ht="62.4">
      <c r="A63" s="834" t="s">
        <v>767</v>
      </c>
      <c r="B63" s="849" t="s">
        <v>326</v>
      </c>
      <c r="C63" s="851" t="s">
        <v>834</v>
      </c>
      <c r="D63" s="836" t="s">
        <v>327</v>
      </c>
      <c r="E63" s="474" t="s">
        <v>768</v>
      </c>
      <c r="F63" s="445" t="s">
        <v>769</v>
      </c>
      <c r="G63" s="446">
        <f t="shared" si="0"/>
        <v>269600</v>
      </c>
      <c r="H63" s="446">
        <f t="shared" si="0"/>
        <v>146640</v>
      </c>
      <c r="I63" s="528">
        <f t="shared" si="2"/>
        <v>54.391691394658757</v>
      </c>
      <c r="J63" s="448">
        <f>769600-500000</f>
        <v>269600</v>
      </c>
      <c r="K63" s="448">
        <f>111640+20000+15000</f>
        <v>146640</v>
      </c>
      <c r="L63" s="448">
        <v>0</v>
      </c>
      <c r="M63" s="532"/>
      <c r="N63" s="448">
        <v>0</v>
      </c>
      <c r="O63" s="575"/>
    </row>
    <row r="64" spans="1:15" s="450" customFormat="1" ht="62.4" customHeight="1">
      <c r="A64" s="835"/>
      <c r="B64" s="850"/>
      <c r="C64" s="852"/>
      <c r="D64" s="837"/>
      <c r="E64" s="474" t="s">
        <v>770</v>
      </c>
      <c r="F64" s="445" t="s">
        <v>771</v>
      </c>
      <c r="G64" s="446">
        <f t="shared" si="0"/>
        <v>931020</v>
      </c>
      <c r="H64" s="446">
        <f t="shared" si="0"/>
        <v>912778</v>
      </c>
      <c r="I64" s="528">
        <f t="shared" si="2"/>
        <v>98.04064359519667</v>
      </c>
      <c r="J64" s="448">
        <v>170000</v>
      </c>
      <c r="K64" s="448">
        <f>82140+70000+10140</f>
        <v>162280</v>
      </c>
      <c r="L64" s="448">
        <v>761020</v>
      </c>
      <c r="M64" s="533">
        <f>80000+316000+61020+244080+49398</f>
        <v>750498</v>
      </c>
      <c r="N64" s="448">
        <v>761020</v>
      </c>
      <c r="O64" s="477">
        <f>80000+316000+61020+244080+49398</f>
        <v>750498</v>
      </c>
    </row>
    <row r="65" spans="1:15" s="450" customFormat="1" ht="36.6" customHeight="1">
      <c r="A65" s="834" t="s">
        <v>772</v>
      </c>
      <c r="B65" s="849" t="s">
        <v>239</v>
      </c>
      <c r="C65" s="851" t="s">
        <v>835</v>
      </c>
      <c r="D65" s="836" t="s">
        <v>238</v>
      </c>
      <c r="E65" s="474" t="s">
        <v>773</v>
      </c>
      <c r="F65" s="445" t="s">
        <v>774</v>
      </c>
      <c r="G65" s="446">
        <f>J65+L65</f>
        <v>300000</v>
      </c>
      <c r="H65" s="446">
        <f t="shared" si="0"/>
        <v>273022.69999999995</v>
      </c>
      <c r="I65" s="528">
        <f t="shared" si="2"/>
        <v>91.007566666666648</v>
      </c>
      <c r="J65" s="448">
        <f>300000-99900</f>
        <v>200100</v>
      </c>
      <c r="K65" s="448">
        <f>39642.93+2882.63+2320+93.96+3500+97437+25290+93.96+1848.83+13.39</f>
        <v>173122.69999999998</v>
      </c>
      <c r="L65" s="448">
        <v>99900</v>
      </c>
      <c r="M65" s="532">
        <v>99900</v>
      </c>
      <c r="N65" s="448">
        <v>99900</v>
      </c>
      <c r="O65" s="449">
        <v>99900</v>
      </c>
    </row>
    <row r="66" spans="1:15" s="450" customFormat="1" ht="53.4" customHeight="1">
      <c r="A66" s="835"/>
      <c r="B66" s="850"/>
      <c r="C66" s="852"/>
      <c r="D66" s="837"/>
      <c r="E66" s="472" t="s">
        <v>775</v>
      </c>
      <c r="F66" s="445" t="s">
        <v>776</v>
      </c>
      <c r="G66" s="446">
        <f>J66+L66</f>
        <v>489000</v>
      </c>
      <c r="H66" s="446">
        <f t="shared" si="0"/>
        <v>488339.79000000004</v>
      </c>
      <c r="I66" s="528">
        <f t="shared" si="2"/>
        <v>99.864987730061358</v>
      </c>
      <c r="J66" s="448">
        <v>489000</v>
      </c>
      <c r="K66" s="448">
        <f>201828.44+5500+190468.73+35151.48+53211.14+2180</f>
        <v>488339.79000000004</v>
      </c>
      <c r="L66" s="448"/>
      <c r="M66" s="532"/>
      <c r="N66" s="448">
        <v>0</v>
      </c>
      <c r="O66" s="575"/>
    </row>
    <row r="67" spans="1:15" s="450" customFormat="1" ht="124.8">
      <c r="A67" s="838" t="s">
        <v>777</v>
      </c>
      <c r="B67" s="843" t="s">
        <v>468</v>
      </c>
      <c r="C67" s="845" t="s">
        <v>835</v>
      </c>
      <c r="D67" s="821" t="s">
        <v>469</v>
      </c>
      <c r="E67" s="508" t="s">
        <v>778</v>
      </c>
      <c r="F67" s="841" t="s">
        <v>779</v>
      </c>
      <c r="G67" s="446">
        <f>J67+L67</f>
        <v>88000</v>
      </c>
      <c r="H67" s="446">
        <f t="shared" si="0"/>
        <v>42221.35</v>
      </c>
      <c r="I67" s="528">
        <f t="shared" si="2"/>
        <v>47.978806818181816</v>
      </c>
      <c r="J67" s="448">
        <v>88000</v>
      </c>
      <c r="K67" s="448">
        <f>20021.35+22200</f>
        <v>42221.35</v>
      </c>
      <c r="L67" s="448">
        <v>0</v>
      </c>
      <c r="M67" s="532"/>
      <c r="N67" s="448">
        <v>0</v>
      </c>
      <c r="O67" s="575"/>
    </row>
    <row r="68" spans="1:15" s="450" customFormat="1" ht="62.4">
      <c r="A68" s="839"/>
      <c r="B68" s="844"/>
      <c r="C68" s="846"/>
      <c r="D68" s="840"/>
      <c r="E68" s="508" t="s">
        <v>780</v>
      </c>
      <c r="F68" s="842"/>
      <c r="G68" s="446">
        <f>J68+L68</f>
        <v>9419300</v>
      </c>
      <c r="H68" s="446">
        <f t="shared" si="0"/>
        <v>9282072.9900000002</v>
      </c>
      <c r="I68" s="528">
        <f t="shared" si="2"/>
        <v>98.543129425753506</v>
      </c>
      <c r="J68" s="448">
        <v>1995360</v>
      </c>
      <c r="K68" s="448">
        <f>87500+650000+400000+340000+90000+18880+244980+2720+1505+54000+1370+99000+655</f>
        <v>1990610</v>
      </c>
      <c r="L68" s="448">
        <v>7423940</v>
      </c>
      <c r="M68" s="532">
        <v>7291462.9900000002</v>
      </c>
      <c r="N68" s="448">
        <v>7423940</v>
      </c>
      <c r="O68" s="449">
        <v>7291462.9900000002</v>
      </c>
    </row>
    <row r="69" spans="1:15" s="450" customFormat="1" ht="31.2">
      <c r="A69" s="478" t="s">
        <v>781</v>
      </c>
      <c r="B69" s="519" t="s">
        <v>243</v>
      </c>
      <c r="C69" s="561" t="s">
        <v>836</v>
      </c>
      <c r="D69" s="591" t="s">
        <v>242</v>
      </c>
      <c r="E69" s="847" t="s">
        <v>782</v>
      </c>
      <c r="F69" s="841" t="s">
        <v>783</v>
      </c>
      <c r="G69" s="446">
        <f>J69+L69</f>
        <v>450000</v>
      </c>
      <c r="H69" s="446">
        <f t="shared" si="0"/>
        <v>287200</v>
      </c>
      <c r="I69" s="528">
        <f t="shared" si="2"/>
        <v>63.822222222222223</v>
      </c>
      <c r="J69" s="448">
        <v>450000</v>
      </c>
      <c r="K69" s="448">
        <f>256000+31200</f>
        <v>287200</v>
      </c>
      <c r="L69" s="448">
        <v>0</v>
      </c>
      <c r="M69" s="532"/>
      <c r="N69" s="448">
        <v>0</v>
      </c>
      <c r="O69" s="575"/>
    </row>
    <row r="70" spans="1:15" s="450" customFormat="1" ht="31.2">
      <c r="A70" s="444" t="s">
        <v>784</v>
      </c>
      <c r="B70" s="500" t="s">
        <v>245</v>
      </c>
      <c r="C70" s="555" t="s">
        <v>836</v>
      </c>
      <c r="D70" s="574" t="s">
        <v>244</v>
      </c>
      <c r="E70" s="848"/>
      <c r="F70" s="842"/>
      <c r="G70" s="446">
        <f t="shared" si="0"/>
        <v>553000</v>
      </c>
      <c r="H70" s="446">
        <f t="shared" si="0"/>
        <v>99500</v>
      </c>
      <c r="I70" s="528">
        <f t="shared" si="2"/>
        <v>17.992766726943941</v>
      </c>
      <c r="J70" s="448">
        <v>0</v>
      </c>
      <c r="K70" s="448"/>
      <c r="L70" s="448">
        <v>553000</v>
      </c>
      <c r="M70" s="532">
        <f>48500+51000</f>
        <v>99500</v>
      </c>
      <c r="N70" s="448">
        <v>0</v>
      </c>
      <c r="O70" s="575"/>
    </row>
    <row r="71" spans="1:15" s="450" customFormat="1" ht="46.8">
      <c r="A71" s="444" t="s">
        <v>785</v>
      </c>
      <c r="B71" s="500" t="s">
        <v>396</v>
      </c>
      <c r="C71" s="555" t="s">
        <v>837</v>
      </c>
      <c r="D71" s="574" t="s">
        <v>397</v>
      </c>
      <c r="E71" s="508" t="s">
        <v>786</v>
      </c>
      <c r="F71" s="445" t="s">
        <v>787</v>
      </c>
      <c r="G71" s="446">
        <f t="shared" si="0"/>
        <v>1221700</v>
      </c>
      <c r="H71" s="446">
        <f t="shared" si="0"/>
        <v>1159035.69</v>
      </c>
      <c r="I71" s="528">
        <f t="shared" si="2"/>
        <v>94.870728493083405</v>
      </c>
      <c r="J71" s="448">
        <v>1221700</v>
      </c>
      <c r="K71" s="448">
        <v>1159035.69</v>
      </c>
      <c r="L71" s="448">
        <v>0</v>
      </c>
      <c r="M71" s="532"/>
      <c r="N71" s="448">
        <v>0</v>
      </c>
      <c r="O71" s="575"/>
    </row>
    <row r="72" spans="1:15" s="450" customFormat="1" ht="78.599999999999994" thickBot="1">
      <c r="A72" s="479" t="s">
        <v>788</v>
      </c>
      <c r="B72" s="520" t="s">
        <v>249</v>
      </c>
      <c r="C72" s="562" t="s">
        <v>837</v>
      </c>
      <c r="D72" s="592" t="s">
        <v>248</v>
      </c>
      <c r="E72" s="508" t="s">
        <v>789</v>
      </c>
      <c r="F72" s="506" t="s">
        <v>790</v>
      </c>
      <c r="G72" s="480">
        <f t="shared" si="0"/>
        <v>700000</v>
      </c>
      <c r="H72" s="480">
        <f t="shared" si="0"/>
        <v>700000</v>
      </c>
      <c r="I72" s="528">
        <f t="shared" si="2"/>
        <v>100</v>
      </c>
      <c r="J72" s="481">
        <v>700000</v>
      </c>
      <c r="K72" s="481">
        <f>625166.96+74833.04</f>
        <v>700000</v>
      </c>
      <c r="L72" s="481">
        <v>0</v>
      </c>
      <c r="M72" s="534"/>
      <c r="N72" s="448">
        <v>0</v>
      </c>
      <c r="O72" s="575"/>
    </row>
    <row r="73" spans="1:15" s="450" customFormat="1" ht="31.8" thickBot="1">
      <c r="A73" s="482" t="s">
        <v>791</v>
      </c>
      <c r="B73" s="513"/>
      <c r="C73" s="563"/>
      <c r="D73" s="593" t="s">
        <v>792</v>
      </c>
      <c r="E73" s="483"/>
      <c r="F73" s="484"/>
      <c r="G73" s="439">
        <f t="shared" si="0"/>
        <v>2151600</v>
      </c>
      <c r="H73" s="439">
        <f t="shared" si="0"/>
        <v>1211147.6499999999</v>
      </c>
      <c r="I73" s="528">
        <f t="shared" si="2"/>
        <v>56.290558189254504</v>
      </c>
      <c r="J73" s="485">
        <f>SUM(J74:J78)</f>
        <v>2151600</v>
      </c>
      <c r="K73" s="485">
        <f>SUM(K74:K78)</f>
        <v>1211147.6499999999</v>
      </c>
      <c r="L73" s="485">
        <f t="shared" ref="L73:O73" si="3">SUM(L74:L78)</f>
        <v>0</v>
      </c>
      <c r="M73" s="485">
        <f t="shared" si="3"/>
        <v>0</v>
      </c>
      <c r="N73" s="485">
        <f t="shared" si="3"/>
        <v>0</v>
      </c>
      <c r="O73" s="496">
        <f t="shared" si="3"/>
        <v>0</v>
      </c>
    </row>
    <row r="74" spans="1:15" s="450" customFormat="1" ht="46.8">
      <c r="A74" s="486" t="s">
        <v>793</v>
      </c>
      <c r="B74" s="521" t="s">
        <v>474</v>
      </c>
      <c r="C74" s="564" t="s">
        <v>838</v>
      </c>
      <c r="D74" s="594" t="s">
        <v>475</v>
      </c>
      <c r="E74" s="509" t="s">
        <v>794</v>
      </c>
      <c r="F74" s="507" t="s">
        <v>795</v>
      </c>
      <c r="G74" s="442">
        <f t="shared" si="0"/>
        <v>50000</v>
      </c>
      <c r="H74" s="442">
        <f t="shared" si="0"/>
        <v>45559</v>
      </c>
      <c r="I74" s="528">
        <f t="shared" ref="I74:I87" si="4">H74/G74*100</f>
        <v>91.117999999999995</v>
      </c>
      <c r="J74" s="487">
        <v>50000</v>
      </c>
      <c r="K74" s="487">
        <v>45559</v>
      </c>
      <c r="L74" s="487">
        <v>0</v>
      </c>
      <c r="M74" s="535"/>
      <c r="N74" s="448">
        <v>0</v>
      </c>
      <c r="O74" s="575"/>
    </row>
    <row r="75" spans="1:15" s="450" customFormat="1" ht="78">
      <c r="A75" s="453" t="s">
        <v>796</v>
      </c>
      <c r="B75" s="515" t="s">
        <v>429</v>
      </c>
      <c r="C75" s="556" t="s">
        <v>446</v>
      </c>
      <c r="D75" s="578" t="s">
        <v>797</v>
      </c>
      <c r="E75" s="454" t="s">
        <v>798</v>
      </c>
      <c r="F75" s="445" t="s">
        <v>799</v>
      </c>
      <c r="G75" s="446">
        <f t="shared" si="0"/>
        <v>200000</v>
      </c>
      <c r="H75" s="446">
        <f t="shared" si="0"/>
        <v>138330.6</v>
      </c>
      <c r="I75" s="528">
        <f t="shared" si="4"/>
        <v>69.165300000000002</v>
      </c>
      <c r="J75" s="448">
        <v>200000</v>
      </c>
      <c r="K75" s="448">
        <v>138330.6</v>
      </c>
      <c r="L75" s="448">
        <v>0</v>
      </c>
      <c r="M75" s="532"/>
      <c r="N75" s="448">
        <v>0</v>
      </c>
      <c r="O75" s="575"/>
    </row>
    <row r="76" spans="1:15" s="450" customFormat="1" ht="62.4">
      <c r="A76" s="456" t="s">
        <v>800</v>
      </c>
      <c r="B76" s="500" t="s">
        <v>462</v>
      </c>
      <c r="C76" s="555" t="s">
        <v>347</v>
      </c>
      <c r="D76" s="580" t="s">
        <v>684</v>
      </c>
      <c r="E76" s="457" t="s">
        <v>801</v>
      </c>
      <c r="F76" s="445" t="s">
        <v>802</v>
      </c>
      <c r="G76" s="446">
        <f t="shared" si="0"/>
        <v>450000</v>
      </c>
      <c r="H76" s="446">
        <f t="shared" si="0"/>
        <v>249195.88</v>
      </c>
      <c r="I76" s="528">
        <f t="shared" si="4"/>
        <v>55.376862222222222</v>
      </c>
      <c r="J76" s="448">
        <v>450000</v>
      </c>
      <c r="K76" s="448">
        <v>249195.88</v>
      </c>
      <c r="L76" s="448">
        <v>0</v>
      </c>
      <c r="M76" s="532"/>
      <c r="N76" s="448">
        <v>0</v>
      </c>
      <c r="O76" s="575"/>
    </row>
    <row r="77" spans="1:15" s="450" customFormat="1" ht="109.2">
      <c r="A77" s="818" t="s">
        <v>803</v>
      </c>
      <c r="B77" s="826" t="s">
        <v>468</v>
      </c>
      <c r="C77" s="828" t="s">
        <v>835</v>
      </c>
      <c r="D77" s="820" t="s">
        <v>469</v>
      </c>
      <c r="E77" s="454" t="s">
        <v>804</v>
      </c>
      <c r="F77" s="822" t="s">
        <v>779</v>
      </c>
      <c r="G77" s="446">
        <f t="shared" si="0"/>
        <v>199400</v>
      </c>
      <c r="H77" s="446">
        <f t="shared" si="0"/>
        <v>0</v>
      </c>
      <c r="I77" s="528">
        <f t="shared" si="4"/>
        <v>0</v>
      </c>
      <c r="J77" s="448">
        <v>199400</v>
      </c>
      <c r="K77" s="448"/>
      <c r="L77" s="448">
        <v>0</v>
      </c>
      <c r="M77" s="532"/>
      <c r="N77" s="448">
        <v>0</v>
      </c>
      <c r="O77" s="575"/>
    </row>
    <row r="78" spans="1:15" s="450" customFormat="1" ht="78.599999999999994" thickBot="1">
      <c r="A78" s="819"/>
      <c r="B78" s="827"/>
      <c r="C78" s="829"/>
      <c r="D78" s="821"/>
      <c r="E78" s="508" t="s">
        <v>805</v>
      </c>
      <c r="F78" s="823"/>
      <c r="G78" s="480">
        <f t="shared" si="0"/>
        <v>1252200</v>
      </c>
      <c r="H78" s="480">
        <f t="shared" si="0"/>
        <v>778062.17</v>
      </c>
      <c r="I78" s="528">
        <f t="shared" si="4"/>
        <v>62.135614917744775</v>
      </c>
      <c r="J78" s="481">
        <v>1252200</v>
      </c>
      <c r="K78" s="481">
        <v>778062.17</v>
      </c>
      <c r="L78" s="481">
        <v>0</v>
      </c>
      <c r="M78" s="534"/>
      <c r="N78" s="448">
        <v>0</v>
      </c>
      <c r="O78" s="575"/>
    </row>
    <row r="79" spans="1:15" s="450" customFormat="1" ht="31.8" thickBot="1">
      <c r="A79" s="488" t="s">
        <v>806</v>
      </c>
      <c r="B79" s="514"/>
      <c r="C79" s="565"/>
      <c r="D79" s="595" t="s">
        <v>807</v>
      </c>
      <c r="E79" s="489"/>
      <c r="F79" s="490"/>
      <c r="G79" s="439">
        <f t="shared" si="0"/>
        <v>25012000</v>
      </c>
      <c r="H79" s="439">
        <f t="shared" si="0"/>
        <v>25007773.719999999</v>
      </c>
      <c r="I79" s="528">
        <f t="shared" si="4"/>
        <v>99.983102990564518</v>
      </c>
      <c r="J79" s="485">
        <f>SUM(J80:J86)</f>
        <v>25012000</v>
      </c>
      <c r="K79" s="485">
        <f>SUM(K80:K86)</f>
        <v>25007773.719999999</v>
      </c>
      <c r="L79" s="485">
        <f t="shared" ref="L79:O79" si="5">SUM(L80:L86)</f>
        <v>0</v>
      </c>
      <c r="M79" s="485">
        <f t="shared" si="5"/>
        <v>0</v>
      </c>
      <c r="N79" s="485">
        <f t="shared" si="5"/>
        <v>0</v>
      </c>
      <c r="O79" s="496">
        <f t="shared" si="5"/>
        <v>0</v>
      </c>
    </row>
    <row r="80" spans="1:15" s="450" customFormat="1" ht="109.2">
      <c r="A80" s="491">
        <v>3719730</v>
      </c>
      <c r="B80" s="522" t="s">
        <v>470</v>
      </c>
      <c r="C80" s="566" t="s">
        <v>403</v>
      </c>
      <c r="D80" s="596" t="s">
        <v>471</v>
      </c>
      <c r="E80" s="510" t="s">
        <v>745</v>
      </c>
      <c r="F80" s="510" t="s">
        <v>746</v>
      </c>
      <c r="G80" s="442">
        <f t="shared" si="0"/>
        <v>7650000</v>
      </c>
      <c r="H80" s="442">
        <f t="shared" si="0"/>
        <v>7650000</v>
      </c>
      <c r="I80" s="528">
        <f t="shared" si="4"/>
        <v>100</v>
      </c>
      <c r="J80" s="487">
        <v>7650000</v>
      </c>
      <c r="K80" s="487">
        <v>7650000</v>
      </c>
      <c r="L80" s="492"/>
      <c r="M80" s="536"/>
      <c r="N80" s="448">
        <v>0</v>
      </c>
      <c r="O80" s="575"/>
    </row>
    <row r="81" spans="1:15" s="450" customFormat="1" ht="31.2">
      <c r="A81" s="824">
        <v>3719770</v>
      </c>
      <c r="B81" s="830" t="s">
        <v>265</v>
      </c>
      <c r="C81" s="832" t="s">
        <v>403</v>
      </c>
      <c r="D81" s="825" t="s">
        <v>264</v>
      </c>
      <c r="E81" s="454" t="s">
        <v>808</v>
      </c>
      <c r="F81" s="510" t="s">
        <v>809</v>
      </c>
      <c r="G81" s="442">
        <f t="shared" si="0"/>
        <v>70000</v>
      </c>
      <c r="H81" s="442">
        <f t="shared" si="0"/>
        <v>70000</v>
      </c>
      <c r="I81" s="528">
        <f t="shared" si="4"/>
        <v>100</v>
      </c>
      <c r="J81" s="487">
        <v>70000</v>
      </c>
      <c r="K81" s="487">
        <v>70000</v>
      </c>
      <c r="L81" s="492"/>
      <c r="M81" s="533"/>
      <c r="N81" s="448">
        <v>0</v>
      </c>
      <c r="O81" s="575"/>
    </row>
    <row r="82" spans="1:15" s="450" customFormat="1" ht="46.8">
      <c r="A82" s="824"/>
      <c r="B82" s="831"/>
      <c r="C82" s="833"/>
      <c r="D82" s="825"/>
      <c r="E82" s="493" t="s">
        <v>810</v>
      </c>
      <c r="F82" s="510" t="s">
        <v>811</v>
      </c>
      <c r="G82" s="442">
        <f t="shared" si="0"/>
        <v>250000</v>
      </c>
      <c r="H82" s="442">
        <f t="shared" si="0"/>
        <v>249220.6</v>
      </c>
      <c r="I82" s="528">
        <f t="shared" si="4"/>
        <v>99.688240000000008</v>
      </c>
      <c r="J82" s="487">
        <v>250000</v>
      </c>
      <c r="K82" s="487">
        <f>250000-779.4</f>
        <v>249220.6</v>
      </c>
      <c r="L82" s="492"/>
      <c r="M82" s="533"/>
      <c r="N82" s="448">
        <v>0</v>
      </c>
      <c r="O82" s="575"/>
    </row>
    <row r="83" spans="1:15" s="450" customFormat="1" ht="78">
      <c r="A83" s="545" t="s">
        <v>597</v>
      </c>
      <c r="B83" s="547" t="s">
        <v>253</v>
      </c>
      <c r="C83" s="567" t="s">
        <v>403</v>
      </c>
      <c r="D83" s="597" t="s">
        <v>252</v>
      </c>
      <c r="E83" s="454" t="s">
        <v>812</v>
      </c>
      <c r="F83" s="510" t="s">
        <v>813</v>
      </c>
      <c r="G83" s="442">
        <f t="shared" si="0"/>
        <v>800000</v>
      </c>
      <c r="H83" s="442">
        <f t="shared" si="0"/>
        <v>799975.12</v>
      </c>
      <c r="I83" s="528">
        <f t="shared" si="4"/>
        <v>99.996890000000008</v>
      </c>
      <c r="J83" s="487">
        <v>800000</v>
      </c>
      <c r="K83" s="487">
        <f>800000-24.88</f>
        <v>799975.12</v>
      </c>
      <c r="L83" s="487"/>
      <c r="M83" s="535"/>
      <c r="N83" s="448">
        <v>0</v>
      </c>
      <c r="O83" s="575"/>
    </row>
    <row r="84" spans="1:15" s="450" customFormat="1" ht="46.8">
      <c r="A84" s="546"/>
      <c r="B84" s="548"/>
      <c r="C84" s="568"/>
      <c r="D84" s="598"/>
      <c r="E84" s="494" t="s">
        <v>814</v>
      </c>
      <c r="F84" s="503" t="s">
        <v>815</v>
      </c>
      <c r="G84" s="446">
        <f t="shared" ref="G84:H86" si="6">J84+L84</f>
        <v>700000</v>
      </c>
      <c r="H84" s="446">
        <f t="shared" si="6"/>
        <v>696578</v>
      </c>
      <c r="I84" s="528">
        <f t="shared" si="4"/>
        <v>99.511142857142858</v>
      </c>
      <c r="J84" s="448">
        <v>700000</v>
      </c>
      <c r="K84" s="448">
        <f>700000-372-3050</f>
        <v>696578</v>
      </c>
      <c r="L84" s="448"/>
      <c r="M84" s="532"/>
      <c r="N84" s="448">
        <v>0</v>
      </c>
      <c r="O84" s="575"/>
    </row>
    <row r="85" spans="1:15" s="450" customFormat="1" ht="62.4">
      <c r="A85" s="546"/>
      <c r="B85" s="548"/>
      <c r="C85" s="568"/>
      <c r="D85" s="598"/>
      <c r="E85" s="508" t="s">
        <v>816</v>
      </c>
      <c r="F85" s="504" t="s">
        <v>817</v>
      </c>
      <c r="G85" s="446">
        <f t="shared" si="6"/>
        <v>72000</v>
      </c>
      <c r="H85" s="446">
        <f t="shared" si="6"/>
        <v>72000</v>
      </c>
      <c r="I85" s="528">
        <f t="shared" si="4"/>
        <v>100</v>
      </c>
      <c r="J85" s="448">
        <v>72000</v>
      </c>
      <c r="K85" s="448">
        <v>72000</v>
      </c>
      <c r="L85" s="448"/>
      <c r="M85" s="532"/>
      <c r="N85" s="448">
        <v>0</v>
      </c>
      <c r="O85" s="575"/>
    </row>
    <row r="86" spans="1:15" s="450" customFormat="1" ht="75" customHeight="1" thickBot="1">
      <c r="A86" s="546"/>
      <c r="B86" s="548"/>
      <c r="C86" s="568"/>
      <c r="D86" s="598"/>
      <c r="E86" s="508" t="s">
        <v>818</v>
      </c>
      <c r="F86" s="504" t="s">
        <v>779</v>
      </c>
      <c r="G86" s="480">
        <f t="shared" si="6"/>
        <v>15470000</v>
      </c>
      <c r="H86" s="480">
        <f t="shared" si="6"/>
        <v>15470000</v>
      </c>
      <c r="I86" s="529">
        <f t="shared" si="4"/>
        <v>100</v>
      </c>
      <c r="J86" s="550">
        <v>15470000</v>
      </c>
      <c r="K86" s="550">
        <v>15470000</v>
      </c>
      <c r="L86" s="481"/>
      <c r="M86" s="534"/>
      <c r="N86" s="481">
        <v>0</v>
      </c>
      <c r="O86" s="599"/>
    </row>
    <row r="87" spans="1:15" ht="31.8" customHeight="1" thickBot="1">
      <c r="A87" s="551" t="s">
        <v>621</v>
      </c>
      <c r="B87" s="552"/>
      <c r="C87" s="569"/>
      <c r="D87" s="551" t="s">
        <v>819</v>
      </c>
      <c r="E87" s="549" t="s">
        <v>621</v>
      </c>
      <c r="F87" s="495" t="s">
        <v>621</v>
      </c>
      <c r="G87" s="439">
        <f>J87+L87</f>
        <v>107753646</v>
      </c>
      <c r="H87" s="439">
        <f>K87+M87</f>
        <v>100690429.27999999</v>
      </c>
      <c r="I87" s="530">
        <f t="shared" si="4"/>
        <v>93.445032272968277</v>
      </c>
      <c r="J87" s="485">
        <f>J73+J11+J79</f>
        <v>94481768</v>
      </c>
      <c r="K87" s="485">
        <f>K73+K11+K79</f>
        <v>88232951.889999986</v>
      </c>
      <c r="L87" s="485">
        <f>L73+L11+L79</f>
        <v>13271878</v>
      </c>
      <c r="M87" s="537">
        <f>M73+M11+M79</f>
        <v>12457477.390000001</v>
      </c>
      <c r="N87" s="537">
        <f t="shared" ref="N87:O87" si="7">N73+N11+N79</f>
        <v>12588878</v>
      </c>
      <c r="O87" s="496">
        <f t="shared" si="7"/>
        <v>12266470.560000001</v>
      </c>
    </row>
    <row r="88" spans="1:15" ht="18">
      <c r="G88" s="499"/>
      <c r="H88" s="499"/>
      <c r="I88" s="497"/>
      <c r="J88" s="498"/>
    </row>
    <row r="89" spans="1:15">
      <c r="G89" s="499"/>
      <c r="H89" s="499"/>
      <c r="I89" s="499"/>
      <c r="J89" s="499"/>
      <c r="K89" s="499"/>
      <c r="L89" s="499"/>
      <c r="M89" s="499"/>
    </row>
    <row r="90" spans="1:15" ht="17.399999999999999">
      <c r="A90" s="389" t="s">
        <v>622</v>
      </c>
      <c r="E90" s="389"/>
      <c r="F90" s="390" t="s">
        <v>623</v>
      </c>
    </row>
    <row r="91" spans="1:15">
      <c r="D91"/>
      <c r="E91"/>
      <c r="F91"/>
    </row>
  </sheetData>
  <mergeCells count="67">
    <mergeCell ref="A5:M5"/>
    <mergeCell ref="B23:B27"/>
    <mergeCell ref="C23:C27"/>
    <mergeCell ref="B28:B36"/>
    <mergeCell ref="C28:C36"/>
    <mergeCell ref="E18:E19"/>
    <mergeCell ref="F18:F19"/>
    <mergeCell ref="A23:A27"/>
    <mergeCell ref="D23:D27"/>
    <mergeCell ref="A28:A36"/>
    <mergeCell ref="D28:D36"/>
    <mergeCell ref="E40:E43"/>
    <mergeCell ref="F40:F43"/>
    <mergeCell ref="E45:E46"/>
    <mergeCell ref="F45:F46"/>
    <mergeCell ref="A52:A54"/>
    <mergeCell ref="D52:D54"/>
    <mergeCell ref="B52:B54"/>
    <mergeCell ref="C52:C54"/>
    <mergeCell ref="E69:E70"/>
    <mergeCell ref="F69:F70"/>
    <mergeCell ref="A56:A57"/>
    <mergeCell ref="D56:D57"/>
    <mergeCell ref="A61:A62"/>
    <mergeCell ref="D61:D62"/>
    <mergeCell ref="A63:A64"/>
    <mergeCell ref="D63:D64"/>
    <mergeCell ref="B56:B57"/>
    <mergeCell ref="C56:C57"/>
    <mergeCell ref="B61:B62"/>
    <mergeCell ref="C61:C62"/>
    <mergeCell ref="B63:B64"/>
    <mergeCell ref="C63:C64"/>
    <mergeCell ref="B65:B66"/>
    <mergeCell ref="C65:C66"/>
    <mergeCell ref="A65:A66"/>
    <mergeCell ref="D65:D66"/>
    <mergeCell ref="A67:A68"/>
    <mergeCell ref="D67:D68"/>
    <mergeCell ref="F67:F68"/>
    <mergeCell ref="B67:B68"/>
    <mergeCell ref="C67:C68"/>
    <mergeCell ref="A77:A78"/>
    <mergeCell ref="D77:D78"/>
    <mergeCell ref="F77:F78"/>
    <mergeCell ref="A81:A82"/>
    <mergeCell ref="D81:D82"/>
    <mergeCell ref="B77:B78"/>
    <mergeCell ref="C77:C78"/>
    <mergeCell ref="B81:B82"/>
    <mergeCell ref="C81:C82"/>
    <mergeCell ref="A3:B3"/>
    <mergeCell ref="A4:B4"/>
    <mergeCell ref="A6:B6"/>
    <mergeCell ref="A7:B7"/>
    <mergeCell ref="L9:M9"/>
    <mergeCell ref="L8:O8"/>
    <mergeCell ref="J8:K9"/>
    <mergeCell ref="I8:I10"/>
    <mergeCell ref="G8:H9"/>
    <mergeCell ref="F8:F10"/>
    <mergeCell ref="E8:E10"/>
    <mergeCell ref="D8:D10"/>
    <mergeCell ref="C8:C10"/>
    <mergeCell ref="B8:B10"/>
    <mergeCell ref="A8:A10"/>
    <mergeCell ref="N9:O9"/>
  </mergeCells>
  <pageMargins left="0.19685039370078741" right="0.19685039370078741" top="0.51181102362204722" bottom="0.19685039370078741" header="0.31496062992125984" footer="0.19685039370078741"/>
  <pageSetup paperSize="9" scale="50" orientation="landscape" verticalDpi="0" r:id="rId1"/>
</worksheet>
</file>

<file path=xl/worksheets/sheet6.xml><?xml version="1.0" encoding="utf-8"?>
<worksheet xmlns="http://schemas.openxmlformats.org/spreadsheetml/2006/main" xmlns:r="http://schemas.openxmlformats.org/officeDocument/2006/relationships">
  <dimension ref="A1:IW18"/>
  <sheetViews>
    <sheetView view="pageBreakPreview" topLeftCell="B1" zoomScale="60" zoomScaleNormal="100" workbookViewId="0">
      <selection activeCell="F4" sqref="F4"/>
    </sheetView>
  </sheetViews>
  <sheetFormatPr defaultRowHeight="15"/>
  <cols>
    <col min="1" max="1" width="13" style="613" customWidth="1"/>
    <col min="2" max="2" width="11.6640625" style="614" customWidth="1"/>
    <col min="3" max="3" width="11.88671875" style="614" customWidth="1"/>
    <col min="4" max="4" width="23.6640625" style="613" customWidth="1"/>
    <col min="5" max="5" width="34.33203125" style="613" customWidth="1"/>
    <col min="6" max="6" width="13.109375" style="614" customWidth="1"/>
    <col min="7" max="8" width="13.5546875" style="614" customWidth="1"/>
    <col min="9" max="10" width="14.109375" style="614" customWidth="1"/>
    <col min="11" max="11" width="11.5546875" style="614" bestFit="1" customWidth="1"/>
    <col min="12" max="257" width="8.88671875" style="614"/>
  </cols>
  <sheetData>
    <row r="1" spans="1:257" ht="18">
      <c r="F1" s="604" t="s">
        <v>862</v>
      </c>
    </row>
    <row r="2" spans="1:257" ht="18">
      <c r="B2" s="615"/>
      <c r="C2" s="615"/>
      <c r="F2" s="604" t="s">
        <v>627</v>
      </c>
    </row>
    <row r="3" spans="1:257" ht="18">
      <c r="B3" s="615"/>
      <c r="C3" s="615"/>
      <c r="F3" s="604" t="s">
        <v>868</v>
      </c>
    </row>
    <row r="4" spans="1:257" ht="15.6">
      <c r="B4" s="616"/>
      <c r="C4" s="616"/>
    </row>
    <row r="5" spans="1:257" ht="15.6">
      <c r="A5" s="617"/>
      <c r="B5" s="616"/>
      <c r="C5" s="616"/>
    </row>
    <row r="6" spans="1:257" ht="17.399999999999999" customHeight="1">
      <c r="A6" s="740"/>
      <c r="B6" s="740"/>
      <c r="C6" s="740"/>
      <c r="D6" s="740"/>
      <c r="E6" s="740"/>
      <c r="F6" s="740"/>
      <c r="G6" s="740"/>
      <c r="H6" s="740"/>
      <c r="I6" s="740"/>
      <c r="J6" s="740"/>
      <c r="K6" s="740"/>
      <c r="L6" s="618"/>
      <c r="M6" s="618"/>
      <c r="N6" s="618"/>
    </row>
    <row r="7" spans="1:257" ht="19.8" customHeight="1">
      <c r="A7" s="740" t="s">
        <v>863</v>
      </c>
      <c r="B7" s="740"/>
      <c r="C7" s="740"/>
      <c r="D7" s="740"/>
      <c r="E7" s="740"/>
      <c r="F7" s="740"/>
      <c r="G7" s="740"/>
      <c r="H7" s="740"/>
      <c r="I7" s="740"/>
      <c r="J7" s="612"/>
    </row>
    <row r="8" spans="1:257" ht="17.399999999999999">
      <c r="A8" s="875" t="s">
        <v>628</v>
      </c>
      <c r="B8" s="875"/>
      <c r="C8" s="612"/>
      <c r="D8" s="612"/>
      <c r="E8" s="612"/>
      <c r="F8" s="612"/>
      <c r="G8" s="612"/>
      <c r="H8" s="612"/>
      <c r="I8" s="612"/>
      <c r="J8" s="612"/>
    </row>
    <row r="9" spans="1:257" ht="15.6">
      <c r="A9" s="876" t="s">
        <v>545</v>
      </c>
      <c r="B9" s="876"/>
      <c r="C9" s="619"/>
      <c r="K9" s="349" t="s">
        <v>645</v>
      </c>
    </row>
    <row r="10" spans="1:257" ht="124.8" customHeight="1">
      <c r="A10" s="620" t="s">
        <v>646</v>
      </c>
      <c r="B10" s="620" t="s">
        <v>845</v>
      </c>
      <c r="C10" s="620" t="s">
        <v>846</v>
      </c>
      <c r="D10" s="620" t="s">
        <v>647</v>
      </c>
      <c r="E10" s="620" t="s">
        <v>854</v>
      </c>
      <c r="F10" s="620" t="s">
        <v>855</v>
      </c>
      <c r="G10" s="620" t="s">
        <v>856</v>
      </c>
      <c r="H10" s="620" t="s">
        <v>857</v>
      </c>
      <c r="I10" s="620" t="s">
        <v>864</v>
      </c>
      <c r="J10" s="620" t="s">
        <v>865</v>
      </c>
      <c r="K10" s="620" t="s">
        <v>866</v>
      </c>
      <c r="L10" s="621"/>
      <c r="M10" s="621"/>
    </row>
    <row r="11" spans="1:257">
      <c r="A11" s="620">
        <v>1</v>
      </c>
      <c r="B11" s="620">
        <v>2</v>
      </c>
      <c r="C11" s="620">
        <v>3</v>
      </c>
      <c r="D11" s="620">
        <v>4</v>
      </c>
      <c r="E11" s="620">
        <v>5</v>
      </c>
      <c r="F11" s="620">
        <v>6</v>
      </c>
      <c r="G11" s="620">
        <v>7</v>
      </c>
      <c r="H11" s="620">
        <v>8</v>
      </c>
      <c r="I11" s="620">
        <v>9</v>
      </c>
      <c r="J11" s="620">
        <v>10</v>
      </c>
      <c r="K11" s="620">
        <v>11</v>
      </c>
      <c r="L11" s="621"/>
      <c r="M11" s="621"/>
    </row>
    <row r="12" spans="1:257" ht="43.2" customHeight="1">
      <c r="A12" s="622" t="s">
        <v>791</v>
      </c>
      <c r="B12" s="623"/>
      <c r="C12" s="624"/>
      <c r="D12" s="877" t="s">
        <v>792</v>
      </c>
      <c r="E12" s="878"/>
      <c r="F12" s="620"/>
      <c r="G12" s="620"/>
      <c r="H12" s="620"/>
      <c r="I12" s="625"/>
      <c r="J12" s="625"/>
      <c r="K12" s="620"/>
      <c r="L12" s="621"/>
      <c r="M12" s="621"/>
    </row>
    <row r="13" spans="1:257" s="614" customFormat="1" ht="133.19999999999999" customHeight="1" thickBot="1">
      <c r="A13" s="637" t="s">
        <v>867</v>
      </c>
      <c r="B13" s="644" t="s">
        <v>299</v>
      </c>
      <c r="C13" s="645" t="s">
        <v>830</v>
      </c>
      <c r="D13" s="638" t="s">
        <v>858</v>
      </c>
      <c r="E13" s="639" t="s">
        <v>859</v>
      </c>
      <c r="F13" s="639" t="s">
        <v>860</v>
      </c>
      <c r="G13" s="640">
        <v>1439932</v>
      </c>
      <c r="H13" s="640">
        <v>1439932</v>
      </c>
      <c r="I13" s="641">
        <v>1308381</v>
      </c>
      <c r="J13" s="641">
        <v>26196.62</v>
      </c>
      <c r="K13" s="642">
        <f>(J13/I13)*100</f>
        <v>2.0022164797562789</v>
      </c>
      <c r="L13" s="621"/>
      <c r="M13" s="621"/>
    </row>
    <row r="14" spans="1:257" s="614" customFormat="1" ht="27.6" customHeight="1" thickBot="1">
      <c r="A14" s="551" t="s">
        <v>566</v>
      </c>
      <c r="B14" s="552" t="s">
        <v>566</v>
      </c>
      <c r="C14" s="552" t="s">
        <v>566</v>
      </c>
      <c r="D14" s="552" t="s">
        <v>861</v>
      </c>
      <c r="E14" s="552" t="s">
        <v>566</v>
      </c>
      <c r="F14" s="552" t="s">
        <v>566</v>
      </c>
      <c r="G14" s="626">
        <f>G13</f>
        <v>1439932</v>
      </c>
      <c r="H14" s="626">
        <f>H13</f>
        <v>1439932</v>
      </c>
      <c r="I14" s="627">
        <f>I13</f>
        <v>1308381</v>
      </c>
      <c r="J14" s="627">
        <f>J13</f>
        <v>26196.62</v>
      </c>
      <c r="K14" s="643">
        <f>(J14/I14)*100</f>
        <v>2.0022164797562789</v>
      </c>
      <c r="L14" s="628"/>
      <c r="M14" s="628"/>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29"/>
      <c r="AN14" s="629"/>
      <c r="AO14" s="629"/>
      <c r="AP14" s="629"/>
      <c r="AQ14" s="629"/>
      <c r="AR14" s="629"/>
      <c r="AS14" s="629"/>
      <c r="AT14" s="629"/>
      <c r="AU14" s="629"/>
      <c r="AV14" s="629"/>
      <c r="AW14" s="629"/>
      <c r="AX14" s="629"/>
      <c r="AY14" s="629"/>
      <c r="AZ14" s="629"/>
      <c r="BA14" s="629"/>
      <c r="BB14" s="629"/>
      <c r="BC14" s="629"/>
      <c r="BD14" s="629"/>
      <c r="BE14" s="629"/>
      <c r="BF14" s="629"/>
      <c r="BG14" s="629"/>
      <c r="BH14" s="629"/>
      <c r="BI14" s="629"/>
      <c r="BJ14" s="629"/>
      <c r="BK14" s="629"/>
      <c r="BL14" s="629"/>
      <c r="BM14" s="629"/>
      <c r="BN14" s="629"/>
      <c r="BO14" s="629"/>
      <c r="BP14" s="629"/>
      <c r="BQ14" s="629"/>
      <c r="BR14" s="629"/>
      <c r="BS14" s="629"/>
      <c r="BT14" s="629"/>
      <c r="BU14" s="629"/>
      <c r="BV14" s="629"/>
      <c r="BW14" s="629"/>
      <c r="BX14" s="629"/>
      <c r="BY14" s="629"/>
      <c r="BZ14" s="629"/>
      <c r="CA14" s="629"/>
      <c r="CB14" s="629"/>
      <c r="CC14" s="629"/>
      <c r="CD14" s="629"/>
      <c r="CE14" s="629"/>
      <c r="CF14" s="629"/>
      <c r="CG14" s="629"/>
      <c r="CH14" s="629"/>
      <c r="CI14" s="629"/>
      <c r="CJ14" s="629"/>
      <c r="CK14" s="629"/>
      <c r="CL14" s="629"/>
      <c r="CM14" s="629"/>
      <c r="CN14" s="629"/>
      <c r="CO14" s="629"/>
      <c r="CP14" s="629"/>
      <c r="CQ14" s="629"/>
      <c r="CR14" s="629"/>
      <c r="CS14" s="629"/>
      <c r="CT14" s="629"/>
      <c r="CU14" s="629"/>
      <c r="CV14" s="629"/>
      <c r="CW14" s="629"/>
      <c r="CX14" s="629"/>
      <c r="CY14" s="629"/>
      <c r="CZ14" s="629"/>
      <c r="DA14" s="629"/>
      <c r="DB14" s="629"/>
      <c r="DC14" s="629"/>
      <c r="DD14" s="629"/>
      <c r="DE14" s="629"/>
      <c r="DF14" s="629"/>
      <c r="DG14" s="629"/>
      <c r="DH14" s="629"/>
      <c r="DI14" s="629"/>
      <c r="DJ14" s="629"/>
      <c r="DK14" s="629"/>
      <c r="DL14" s="629"/>
      <c r="DM14" s="629"/>
      <c r="DN14" s="629"/>
      <c r="DO14" s="629"/>
      <c r="DP14" s="629"/>
      <c r="DQ14" s="629"/>
      <c r="DR14" s="629"/>
      <c r="DS14" s="629"/>
      <c r="DT14" s="629"/>
      <c r="DU14" s="629"/>
      <c r="DV14" s="629"/>
      <c r="DW14" s="629"/>
      <c r="DX14" s="629"/>
      <c r="DY14" s="629"/>
      <c r="DZ14" s="629"/>
      <c r="EA14" s="629"/>
      <c r="EB14" s="629"/>
      <c r="EC14" s="629"/>
      <c r="ED14" s="629"/>
      <c r="EE14" s="629"/>
      <c r="EF14" s="629"/>
      <c r="EG14" s="629"/>
      <c r="EH14" s="629"/>
      <c r="EI14" s="629"/>
      <c r="EJ14" s="629"/>
      <c r="EK14" s="629"/>
      <c r="EL14" s="629"/>
      <c r="EM14" s="629"/>
      <c r="EN14" s="629"/>
      <c r="EO14" s="629"/>
      <c r="EP14" s="629"/>
      <c r="EQ14" s="629"/>
      <c r="ER14" s="629"/>
      <c r="ES14" s="629"/>
      <c r="ET14" s="629"/>
      <c r="EU14" s="629"/>
      <c r="EV14" s="629"/>
      <c r="EW14" s="629"/>
      <c r="EX14" s="629"/>
      <c r="EY14" s="629"/>
      <c r="EZ14" s="629"/>
      <c r="FA14" s="629"/>
      <c r="FB14" s="629"/>
      <c r="FC14" s="629"/>
      <c r="FD14" s="629"/>
      <c r="FE14" s="629"/>
      <c r="FF14" s="629"/>
      <c r="FG14" s="629"/>
      <c r="FH14" s="629"/>
      <c r="FI14" s="629"/>
      <c r="FJ14" s="629"/>
      <c r="FK14" s="629"/>
      <c r="FL14" s="629"/>
      <c r="FM14" s="629"/>
      <c r="FN14" s="629"/>
      <c r="FO14" s="629"/>
      <c r="FP14" s="629"/>
      <c r="FQ14" s="629"/>
      <c r="FR14" s="629"/>
      <c r="FS14" s="629"/>
      <c r="FT14" s="629"/>
      <c r="FU14" s="629"/>
      <c r="FV14" s="629"/>
      <c r="FW14" s="629"/>
      <c r="FX14" s="629"/>
      <c r="FY14" s="629"/>
      <c r="FZ14" s="629"/>
      <c r="GA14" s="629"/>
      <c r="GB14" s="629"/>
      <c r="GC14" s="629"/>
      <c r="GD14" s="629"/>
      <c r="GE14" s="629"/>
      <c r="GF14" s="629"/>
      <c r="GG14" s="629"/>
      <c r="GH14" s="629"/>
      <c r="GI14" s="629"/>
      <c r="GJ14" s="629"/>
      <c r="GK14" s="629"/>
      <c r="GL14" s="629"/>
      <c r="GM14" s="629"/>
      <c r="GN14" s="629"/>
      <c r="GO14" s="629"/>
      <c r="GP14" s="629"/>
      <c r="GQ14" s="629"/>
      <c r="GR14" s="629"/>
      <c r="GS14" s="629"/>
      <c r="GT14" s="629"/>
      <c r="GU14" s="629"/>
      <c r="GV14" s="629"/>
      <c r="GW14" s="629"/>
      <c r="GX14" s="629"/>
      <c r="GY14" s="629"/>
      <c r="GZ14" s="629"/>
      <c r="HA14" s="629"/>
      <c r="HB14" s="629"/>
      <c r="HC14" s="629"/>
      <c r="HD14" s="629"/>
      <c r="HE14" s="629"/>
      <c r="HF14" s="629"/>
      <c r="HG14" s="629"/>
      <c r="HH14" s="629"/>
      <c r="HI14" s="629"/>
      <c r="HJ14" s="629"/>
      <c r="HK14" s="629"/>
      <c r="HL14" s="629"/>
      <c r="HM14" s="629"/>
      <c r="HN14" s="629"/>
      <c r="HO14" s="629"/>
      <c r="HP14" s="629"/>
      <c r="HQ14" s="629"/>
      <c r="HR14" s="629"/>
      <c r="HS14" s="629"/>
      <c r="HT14" s="629"/>
      <c r="HU14" s="629"/>
      <c r="HV14" s="629"/>
      <c r="HW14" s="629"/>
      <c r="HX14" s="629"/>
      <c r="HY14" s="629"/>
      <c r="HZ14" s="629"/>
      <c r="IA14" s="629"/>
      <c r="IB14" s="629"/>
      <c r="IC14" s="629"/>
      <c r="ID14" s="629"/>
      <c r="IE14" s="629"/>
      <c r="IF14" s="629"/>
      <c r="IG14" s="629"/>
      <c r="IH14" s="629"/>
      <c r="II14" s="629"/>
      <c r="IJ14" s="629"/>
      <c r="IK14" s="629"/>
      <c r="IL14" s="629"/>
      <c r="IM14" s="629"/>
      <c r="IN14" s="629"/>
      <c r="IO14" s="629"/>
      <c r="IP14" s="629"/>
      <c r="IQ14" s="629"/>
      <c r="IR14" s="629"/>
      <c r="IS14" s="629"/>
      <c r="IT14" s="629"/>
      <c r="IU14" s="629"/>
      <c r="IV14" s="629"/>
      <c r="IW14" s="629"/>
    </row>
    <row r="15" spans="1:257" s="614" customFormat="1" ht="27.6" customHeight="1">
      <c r="A15" s="630"/>
      <c r="B15" s="630"/>
      <c r="C15" s="630"/>
      <c r="D15" s="630"/>
      <c r="E15" s="630"/>
      <c r="F15" s="630"/>
      <c r="G15" s="630"/>
      <c r="H15" s="630"/>
      <c r="I15" s="631"/>
      <c r="J15" s="631"/>
      <c r="K15" s="630"/>
      <c r="L15" s="628"/>
      <c r="M15" s="628"/>
      <c r="N15" s="629"/>
      <c r="O15" s="629"/>
      <c r="P15" s="629"/>
      <c r="Q15" s="629"/>
      <c r="R15" s="629"/>
      <c r="S15" s="629"/>
      <c r="T15" s="629"/>
      <c r="U15" s="629"/>
      <c r="V15" s="629"/>
      <c r="W15" s="629"/>
      <c r="X15" s="629"/>
      <c r="Y15" s="629"/>
      <c r="Z15" s="629"/>
      <c r="AA15" s="629"/>
      <c r="AB15" s="629"/>
      <c r="AC15" s="629"/>
      <c r="AD15" s="629"/>
      <c r="AE15" s="629"/>
      <c r="AF15" s="629"/>
      <c r="AG15" s="629"/>
      <c r="AH15" s="629"/>
      <c r="AI15" s="629"/>
      <c r="AJ15" s="629"/>
      <c r="AK15" s="629"/>
      <c r="AL15" s="629"/>
      <c r="AM15" s="629"/>
      <c r="AN15" s="629"/>
      <c r="AO15" s="629"/>
      <c r="AP15" s="629"/>
      <c r="AQ15" s="629"/>
      <c r="AR15" s="629"/>
      <c r="AS15" s="629"/>
      <c r="AT15" s="629"/>
      <c r="AU15" s="629"/>
      <c r="AV15" s="629"/>
      <c r="AW15" s="629"/>
      <c r="AX15" s="629"/>
      <c r="AY15" s="629"/>
      <c r="AZ15" s="629"/>
      <c r="BA15" s="629"/>
      <c r="BB15" s="629"/>
      <c r="BC15" s="629"/>
      <c r="BD15" s="629"/>
      <c r="BE15" s="629"/>
      <c r="BF15" s="629"/>
      <c r="BG15" s="629"/>
      <c r="BH15" s="629"/>
      <c r="BI15" s="629"/>
      <c r="BJ15" s="629"/>
      <c r="BK15" s="629"/>
      <c r="BL15" s="629"/>
      <c r="BM15" s="629"/>
      <c r="BN15" s="629"/>
      <c r="BO15" s="629"/>
      <c r="BP15" s="629"/>
      <c r="BQ15" s="629"/>
      <c r="BR15" s="629"/>
      <c r="BS15" s="629"/>
      <c r="BT15" s="629"/>
      <c r="BU15" s="629"/>
      <c r="BV15" s="629"/>
      <c r="BW15" s="629"/>
      <c r="BX15" s="629"/>
      <c r="BY15" s="629"/>
      <c r="BZ15" s="629"/>
      <c r="CA15" s="629"/>
      <c r="CB15" s="629"/>
      <c r="CC15" s="629"/>
      <c r="CD15" s="629"/>
      <c r="CE15" s="629"/>
      <c r="CF15" s="629"/>
      <c r="CG15" s="629"/>
      <c r="CH15" s="629"/>
      <c r="CI15" s="629"/>
      <c r="CJ15" s="629"/>
      <c r="CK15" s="629"/>
      <c r="CL15" s="629"/>
      <c r="CM15" s="629"/>
      <c r="CN15" s="629"/>
      <c r="CO15" s="629"/>
      <c r="CP15" s="629"/>
      <c r="CQ15" s="629"/>
      <c r="CR15" s="629"/>
      <c r="CS15" s="629"/>
      <c r="CT15" s="629"/>
      <c r="CU15" s="629"/>
      <c r="CV15" s="629"/>
      <c r="CW15" s="629"/>
      <c r="CX15" s="629"/>
      <c r="CY15" s="629"/>
      <c r="CZ15" s="629"/>
      <c r="DA15" s="629"/>
      <c r="DB15" s="629"/>
      <c r="DC15" s="629"/>
      <c r="DD15" s="629"/>
      <c r="DE15" s="629"/>
      <c r="DF15" s="629"/>
      <c r="DG15" s="629"/>
      <c r="DH15" s="629"/>
      <c r="DI15" s="629"/>
      <c r="DJ15" s="629"/>
      <c r="DK15" s="629"/>
      <c r="DL15" s="629"/>
      <c r="DM15" s="629"/>
      <c r="DN15" s="629"/>
      <c r="DO15" s="629"/>
      <c r="DP15" s="629"/>
      <c r="DQ15" s="629"/>
      <c r="DR15" s="629"/>
      <c r="DS15" s="629"/>
      <c r="DT15" s="629"/>
      <c r="DU15" s="629"/>
      <c r="DV15" s="629"/>
      <c r="DW15" s="629"/>
      <c r="DX15" s="629"/>
      <c r="DY15" s="629"/>
      <c r="DZ15" s="629"/>
      <c r="EA15" s="629"/>
      <c r="EB15" s="629"/>
      <c r="EC15" s="629"/>
      <c r="ED15" s="629"/>
      <c r="EE15" s="629"/>
      <c r="EF15" s="629"/>
      <c r="EG15" s="629"/>
      <c r="EH15" s="629"/>
      <c r="EI15" s="629"/>
      <c r="EJ15" s="629"/>
      <c r="EK15" s="629"/>
      <c r="EL15" s="629"/>
      <c r="EM15" s="629"/>
      <c r="EN15" s="629"/>
      <c r="EO15" s="629"/>
      <c r="EP15" s="629"/>
      <c r="EQ15" s="629"/>
      <c r="ER15" s="629"/>
      <c r="ES15" s="629"/>
      <c r="ET15" s="629"/>
      <c r="EU15" s="629"/>
      <c r="EV15" s="629"/>
      <c r="EW15" s="629"/>
      <c r="EX15" s="629"/>
      <c r="EY15" s="629"/>
      <c r="EZ15" s="629"/>
      <c r="FA15" s="629"/>
      <c r="FB15" s="629"/>
      <c r="FC15" s="629"/>
      <c r="FD15" s="629"/>
      <c r="FE15" s="629"/>
      <c r="FF15" s="629"/>
      <c r="FG15" s="629"/>
      <c r="FH15" s="629"/>
      <c r="FI15" s="629"/>
      <c r="FJ15" s="629"/>
      <c r="FK15" s="629"/>
      <c r="FL15" s="629"/>
      <c r="FM15" s="629"/>
      <c r="FN15" s="629"/>
      <c r="FO15" s="629"/>
      <c r="FP15" s="629"/>
      <c r="FQ15" s="629"/>
      <c r="FR15" s="629"/>
      <c r="FS15" s="629"/>
      <c r="FT15" s="629"/>
      <c r="FU15" s="629"/>
      <c r="FV15" s="629"/>
      <c r="FW15" s="629"/>
      <c r="FX15" s="629"/>
      <c r="FY15" s="629"/>
      <c r="FZ15" s="629"/>
      <c r="GA15" s="629"/>
      <c r="GB15" s="629"/>
      <c r="GC15" s="629"/>
      <c r="GD15" s="629"/>
      <c r="GE15" s="629"/>
      <c r="GF15" s="629"/>
      <c r="GG15" s="629"/>
      <c r="GH15" s="629"/>
      <c r="GI15" s="629"/>
      <c r="GJ15" s="629"/>
      <c r="GK15" s="629"/>
      <c r="GL15" s="629"/>
      <c r="GM15" s="629"/>
      <c r="GN15" s="629"/>
      <c r="GO15" s="629"/>
      <c r="GP15" s="629"/>
      <c r="GQ15" s="629"/>
      <c r="GR15" s="629"/>
      <c r="GS15" s="629"/>
      <c r="GT15" s="629"/>
      <c r="GU15" s="629"/>
      <c r="GV15" s="629"/>
      <c r="GW15" s="629"/>
      <c r="GX15" s="629"/>
      <c r="GY15" s="629"/>
      <c r="GZ15" s="629"/>
      <c r="HA15" s="629"/>
      <c r="HB15" s="629"/>
      <c r="HC15" s="629"/>
      <c r="HD15" s="629"/>
      <c r="HE15" s="629"/>
      <c r="HF15" s="629"/>
      <c r="HG15" s="629"/>
      <c r="HH15" s="629"/>
      <c r="HI15" s="629"/>
      <c r="HJ15" s="629"/>
      <c r="HK15" s="629"/>
      <c r="HL15" s="629"/>
      <c r="HM15" s="629"/>
      <c r="HN15" s="629"/>
      <c r="HO15" s="629"/>
      <c r="HP15" s="629"/>
      <c r="HQ15" s="629"/>
      <c r="HR15" s="629"/>
      <c r="HS15" s="629"/>
      <c r="HT15" s="629"/>
      <c r="HU15" s="629"/>
      <c r="HV15" s="629"/>
      <c r="HW15" s="629"/>
      <c r="HX15" s="629"/>
      <c r="HY15" s="629"/>
      <c r="HZ15" s="629"/>
      <c r="IA15" s="629"/>
      <c r="IB15" s="629"/>
      <c r="IC15" s="629"/>
      <c r="ID15" s="629"/>
      <c r="IE15" s="629"/>
      <c r="IF15" s="629"/>
      <c r="IG15" s="629"/>
      <c r="IH15" s="629"/>
      <c r="II15" s="629"/>
      <c r="IJ15" s="629"/>
      <c r="IK15" s="629"/>
      <c r="IL15" s="629"/>
      <c r="IM15" s="629"/>
      <c r="IN15" s="629"/>
      <c r="IO15" s="629"/>
      <c r="IP15" s="629"/>
      <c r="IQ15" s="629"/>
      <c r="IR15" s="629"/>
      <c r="IS15" s="629"/>
      <c r="IT15" s="629"/>
      <c r="IU15" s="629"/>
      <c r="IV15" s="629"/>
      <c r="IW15" s="629"/>
    </row>
    <row r="16" spans="1:257" s="614" customFormat="1" ht="15.6">
      <c r="A16" s="632"/>
      <c r="B16" s="632"/>
      <c r="C16" s="632"/>
      <c r="D16" s="632"/>
      <c r="E16" s="632"/>
      <c r="F16" s="632"/>
      <c r="G16" s="632"/>
      <c r="H16" s="632"/>
      <c r="I16" s="632"/>
      <c r="J16" s="632"/>
      <c r="K16" s="632"/>
      <c r="L16" s="621"/>
      <c r="M16" s="621"/>
    </row>
    <row r="17" spans="1:12" s="604" customFormat="1" ht="18">
      <c r="A17" s="633" t="s">
        <v>643</v>
      </c>
      <c r="E17" s="634"/>
      <c r="I17" s="390" t="s">
        <v>623</v>
      </c>
      <c r="J17" s="390"/>
      <c r="L17" s="635"/>
    </row>
    <row r="18" spans="1:12" s="614" customFormat="1" ht="15.6">
      <c r="A18" s="636"/>
      <c r="B18" s="349"/>
      <c r="C18" s="349"/>
      <c r="D18" s="613"/>
      <c r="E18" s="613"/>
    </row>
  </sheetData>
  <mergeCells count="5">
    <mergeCell ref="A6:K6"/>
    <mergeCell ref="A7:I7"/>
    <mergeCell ref="A8:B8"/>
    <mergeCell ref="A9:B9"/>
    <mergeCell ref="D12:E12"/>
  </mergeCells>
  <pageMargins left="0.46" right="0.27559055118110237" top="0.99" bottom="0.35433070866141736"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ДОДАТОК 1</vt:lpstr>
      <vt:lpstr>ДОДАТОК 2</vt:lpstr>
      <vt:lpstr>ДОДАТОК 3</vt:lpstr>
      <vt:lpstr>ДОДАТОК 4</vt:lpstr>
      <vt:lpstr>ДОДАТОК 5</vt:lpstr>
      <vt:lpstr>ДОДАТОК 6</vt:lpstr>
      <vt:lpstr>Data</vt:lpstr>
      <vt:lpstr>Date</vt:lpstr>
      <vt:lpstr>'ДОДАТОК 1'!Заголовки_для_печати</vt:lpstr>
      <vt:lpstr>'ДОДАТОК 2'!Заголовки_для_печати</vt:lpstr>
      <vt:lpstr>'ДОДАТОК 4'!Заголовки_для_печати</vt:lpstr>
      <vt:lpstr>'ДОДАТОК 5'!Заголовки_для_печати</vt:lpstr>
      <vt:lpstr>'ДОДАТОК 1'!Область_печати</vt:lpstr>
      <vt:lpstr>'ДОДАТОК 2'!Область_печати</vt:lpstr>
      <vt:lpstr>'ДОДАТОК 6'!Область_печати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Марків Олена Ярославівна</dc:creator>
  <cp:lastModifiedBy>Mis'kaRada</cp:lastModifiedBy>
  <cp:lastPrinted>2025-02-18T07:17:30Z</cp:lastPrinted>
  <dcterms:created xsi:type="dcterms:W3CDTF">2019-04-04T08:39:19Z</dcterms:created>
  <dcterms:modified xsi:type="dcterms:W3CDTF">2025-02-24T09:09:10Z</dcterms:modified>
</cp:coreProperties>
</file>