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Work\Desktop\ВИКОНКОМ\РІШЕННЯ\2023\12.12.2023\1366 ЮМЛ\"/>
    </mc:Choice>
  </mc:AlternateContent>
  <xr:revisionPtr revIDLastSave="0" documentId="13_ncr:1_{F6D0C732-7A69-49E8-BE63-2D412613EB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ин.план" sheetId="1" r:id="rId1"/>
    <sheet name="обсяги" sheetId="2" state="hidden" r:id="rId2"/>
  </sheets>
  <definedNames>
    <definedName name="_xlnm.Print_Area" localSheetId="1">обсяги!$A$1:$N$28</definedName>
    <definedName name="_xlnm.Print_Area" localSheetId="0">фин.план!$A$1:$G$121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2" l="1"/>
  <c r="I9" i="2"/>
  <c r="I11" i="2"/>
  <c r="I16" i="2"/>
  <c r="L16" i="2"/>
  <c r="F16" i="2"/>
  <c r="C16" i="2"/>
  <c r="C18" i="2"/>
  <c r="C12" i="2"/>
  <c r="L14" i="2"/>
  <c r="I14" i="2"/>
  <c r="F14" i="2"/>
  <c r="C14" i="2"/>
  <c r="L13" i="2"/>
  <c r="I13" i="2"/>
  <c r="F13" i="2"/>
  <c r="C13" i="2"/>
  <c r="G43" i="1" l="1"/>
  <c r="F43" i="1"/>
  <c r="F46" i="1"/>
  <c r="E46" i="1"/>
  <c r="E43" i="1"/>
  <c r="D46" i="1"/>
  <c r="D43" i="1"/>
  <c r="J13" i="2" l="1"/>
  <c r="G13" i="2"/>
  <c r="C23" i="2"/>
  <c r="L10" i="2" l="1"/>
  <c r="I10" i="2"/>
  <c r="F10" i="2"/>
  <c r="C10" i="2"/>
  <c r="M11" i="2" l="1"/>
  <c r="J11" i="2"/>
  <c r="G11" i="2"/>
  <c r="K10" i="2"/>
  <c r="H10" i="2"/>
  <c r="E10" i="2"/>
  <c r="B10" i="2"/>
  <c r="O18" i="2"/>
  <c r="N18" i="2"/>
  <c r="O20" i="2"/>
  <c r="N20" i="2"/>
  <c r="O21" i="2"/>
  <c r="N21" i="2"/>
  <c r="K21" i="2"/>
  <c r="K11" i="2"/>
  <c r="K17" i="2"/>
  <c r="H17" i="2"/>
  <c r="E17" i="2"/>
  <c r="B17" i="2"/>
  <c r="P17" i="2"/>
  <c r="M18" i="2"/>
  <c r="L18" i="2"/>
  <c r="J18" i="2"/>
  <c r="I18" i="2"/>
  <c r="H18" i="2"/>
  <c r="G18" i="2"/>
  <c r="F18" i="2"/>
  <c r="E18" i="2"/>
  <c r="D18" i="2"/>
  <c r="B18" i="2"/>
  <c r="H21" i="2"/>
  <c r="E21" i="2"/>
  <c r="B21" i="2"/>
  <c r="M20" i="2" l="1"/>
  <c r="L20" i="2"/>
  <c r="K20" i="2"/>
  <c r="K18" i="2" s="1"/>
  <c r="J20" i="2"/>
  <c r="I20" i="2"/>
  <c r="H20" i="2"/>
  <c r="G20" i="2"/>
  <c r="F20" i="2"/>
  <c r="E20" i="2"/>
  <c r="D20" i="2"/>
  <c r="C20" i="2"/>
  <c r="B20" i="2"/>
  <c r="F99" i="1" l="1"/>
  <c r="Q23" i="2" l="1"/>
  <c r="P23" i="2"/>
  <c r="Q24" i="2"/>
  <c r="P24" i="2"/>
  <c r="N24" i="2"/>
  <c r="Q15" i="2" l="1"/>
  <c r="Q14" i="2" l="1"/>
  <c r="T10" i="2" l="1"/>
  <c r="D41" i="1" l="1"/>
  <c r="D39" i="1" l="1"/>
  <c r="Q16" i="2"/>
  <c r="S10" i="2" l="1"/>
  <c r="V10" i="2" l="1"/>
  <c r="U10" i="2"/>
  <c r="D93" i="1"/>
  <c r="D108" i="1" l="1"/>
  <c r="C98" i="1"/>
  <c r="C100" i="1"/>
  <c r="C101" i="1"/>
  <c r="C102" i="1"/>
  <c r="C103" i="1"/>
  <c r="C104" i="1"/>
  <c r="C105" i="1"/>
  <c r="C106" i="1"/>
  <c r="F107" i="1"/>
  <c r="D107" i="1"/>
  <c r="C108" i="1" l="1"/>
  <c r="L11" i="2" l="1"/>
  <c r="F11" i="2"/>
  <c r="T11" i="2"/>
  <c r="T9" i="2" s="1"/>
  <c r="D11" i="2"/>
  <c r="Q11" i="2" s="1"/>
  <c r="C11" i="2"/>
  <c r="Q13" i="2"/>
  <c r="S11" i="2" l="1"/>
  <c r="S9" i="2" s="1"/>
  <c r="P11" i="2"/>
  <c r="P26" i="2" s="1"/>
  <c r="E92" i="1"/>
  <c r="F92" i="1"/>
  <c r="G92" i="1"/>
  <c r="D92" i="1"/>
  <c r="C36" i="1"/>
  <c r="C35" i="1"/>
  <c r="P25" i="2"/>
  <c r="O25" i="2"/>
  <c r="N25" i="2"/>
  <c r="O24" i="2"/>
  <c r="N23" i="2"/>
  <c r="O23" i="2"/>
  <c r="P22" i="2"/>
  <c r="O22" i="2"/>
  <c r="N22" i="2"/>
  <c r="P21" i="2"/>
  <c r="P19" i="2"/>
  <c r="O19" i="2"/>
  <c r="N19" i="2"/>
  <c r="K12" i="2"/>
  <c r="E12" i="2"/>
  <c r="B12" i="2"/>
  <c r="O16" i="2"/>
  <c r="I12" i="2"/>
  <c r="N16" i="2"/>
  <c r="P15" i="2"/>
  <c r="O15" i="2"/>
  <c r="N15" i="2"/>
  <c r="O14" i="2"/>
  <c r="F12" i="2"/>
  <c r="P14" i="2"/>
  <c r="O13" i="2"/>
  <c r="P13" i="2"/>
  <c r="M12" i="2"/>
  <c r="L12" i="2"/>
  <c r="J12" i="2"/>
  <c r="H12" i="2"/>
  <c r="G12" i="2"/>
  <c r="D12" i="2"/>
  <c r="Q10" i="2"/>
  <c r="P10" i="2"/>
  <c r="H11" i="2"/>
  <c r="H9" i="2" s="1"/>
  <c r="E11" i="2"/>
  <c r="C9" i="2"/>
  <c r="M9" i="2"/>
  <c r="G65" i="1" s="1"/>
  <c r="L9" i="2"/>
  <c r="J9" i="2"/>
  <c r="F65" i="1" s="1"/>
  <c r="G9" i="2"/>
  <c r="D9" i="2"/>
  <c r="P9" i="2" l="1"/>
  <c r="V11" i="2"/>
  <c r="U11" i="2"/>
  <c r="U9" i="2" s="1"/>
  <c r="Q9" i="2"/>
  <c r="G26" i="2"/>
  <c r="N10" i="2"/>
  <c r="J26" i="2"/>
  <c r="E37" i="1"/>
  <c r="E94" i="1" s="1"/>
  <c r="O10" i="2"/>
  <c r="B11" i="2"/>
  <c r="N11" i="2" s="1"/>
  <c r="D65" i="1"/>
  <c r="P18" i="2"/>
  <c r="P20" i="2"/>
  <c r="D37" i="1"/>
  <c r="E65" i="1"/>
  <c r="D26" i="2"/>
  <c r="G37" i="1"/>
  <c r="G94" i="1" s="1"/>
  <c r="F64" i="1"/>
  <c r="M26" i="2"/>
  <c r="Q12" i="2"/>
  <c r="Q26" i="2" s="1"/>
  <c r="G64" i="1"/>
  <c r="F50" i="1"/>
  <c r="G50" i="1"/>
  <c r="L26" i="2"/>
  <c r="G30" i="1" s="1"/>
  <c r="I26" i="2"/>
  <c r="F30" i="1" s="1"/>
  <c r="D64" i="1"/>
  <c r="E64" i="1"/>
  <c r="E62" i="1" s="1"/>
  <c r="E50" i="1"/>
  <c r="H26" i="2"/>
  <c r="F29" i="1" s="1"/>
  <c r="F33" i="1"/>
  <c r="F37" i="1"/>
  <c r="F94" i="1" s="1"/>
  <c r="F34" i="1"/>
  <c r="F51" i="1"/>
  <c r="G33" i="1"/>
  <c r="E33" i="1"/>
  <c r="O12" i="2"/>
  <c r="N14" i="2"/>
  <c r="P16" i="2"/>
  <c r="E9" i="2"/>
  <c r="N13" i="2"/>
  <c r="N17" i="2"/>
  <c r="O17" i="2" s="1"/>
  <c r="F9" i="2"/>
  <c r="K9" i="2"/>
  <c r="D94" i="1" l="1"/>
  <c r="C94" i="1" s="1"/>
  <c r="C37" i="1"/>
  <c r="F31" i="1"/>
  <c r="C65" i="1"/>
  <c r="E26" i="2"/>
  <c r="E29" i="1" s="1"/>
  <c r="D62" i="1"/>
  <c r="O11" i="2"/>
  <c r="O26" i="2" s="1"/>
  <c r="K26" i="2"/>
  <c r="G29" i="1" s="1"/>
  <c r="C26" i="2"/>
  <c r="D30" i="1" s="1"/>
  <c r="D33" i="1"/>
  <c r="F26" i="2"/>
  <c r="E30" i="1" s="1"/>
  <c r="P12" i="2"/>
  <c r="D50" i="1"/>
  <c r="G51" i="1"/>
  <c r="G48" i="1" s="1"/>
  <c r="G34" i="1"/>
  <c r="E34" i="1"/>
  <c r="E51" i="1"/>
  <c r="N12" i="2"/>
  <c r="B9" i="2"/>
  <c r="E91" i="1" l="1"/>
  <c r="C33" i="1"/>
  <c r="D90" i="1"/>
  <c r="B26" i="2"/>
  <c r="D29" i="1" s="1"/>
  <c r="N26" i="2"/>
  <c r="D34" i="1"/>
  <c r="D31" i="1" s="1"/>
  <c r="D51" i="1"/>
  <c r="D48" i="1" s="1"/>
  <c r="O9" i="2"/>
  <c r="D26" i="1" l="1"/>
  <c r="C29" i="1"/>
  <c r="D22" i="1"/>
  <c r="D91" i="1"/>
  <c r="D95" i="1" s="1"/>
  <c r="C52" i="1"/>
  <c r="E41" i="1"/>
  <c r="E26" i="1" s="1"/>
  <c r="F62" i="1" l="1"/>
  <c r="G62" i="1" l="1"/>
  <c r="C62" i="1" s="1"/>
  <c r="E48" i="1" l="1"/>
  <c r="G97" i="1" l="1"/>
  <c r="C97" i="1" s="1"/>
  <c r="C107" i="1" s="1"/>
  <c r="C64" i="1"/>
  <c r="C67" i="1"/>
  <c r="C68" i="1"/>
  <c r="C66" i="1"/>
  <c r="C54" i="1"/>
  <c r="C53" i="1"/>
  <c r="C51" i="1"/>
  <c r="C50" i="1"/>
  <c r="G93" i="1"/>
  <c r="G91" i="1"/>
  <c r="G90" i="1"/>
  <c r="G95" i="1" s="1"/>
  <c r="F93" i="1"/>
  <c r="F91" i="1"/>
  <c r="F90" i="1"/>
  <c r="F95" i="1" s="1"/>
  <c r="E93" i="1"/>
  <c r="E90" i="1"/>
  <c r="E95" i="1" s="1"/>
  <c r="C93" i="1" l="1"/>
  <c r="F41" i="1"/>
  <c r="F26" i="1" s="1"/>
  <c r="C27" i="1" l="1"/>
  <c r="E22" i="1" l="1"/>
  <c r="E39" i="1"/>
  <c r="C47" i="1" l="1"/>
  <c r="F39" i="1"/>
  <c r="G41" i="1"/>
  <c r="G26" i="1" s="1"/>
  <c r="C41" i="1" l="1"/>
  <c r="C26" i="1"/>
  <c r="G39" i="1"/>
  <c r="C39" i="1" s="1"/>
  <c r="G22" i="1" l="1"/>
  <c r="F22" i="1" l="1"/>
  <c r="C22" i="1" s="1"/>
  <c r="F108" i="1" l="1"/>
  <c r="G108" i="1"/>
  <c r="E107" i="1"/>
  <c r="E31" i="1" s="1"/>
  <c r="G107" i="1"/>
  <c r="G31" i="1" s="1"/>
  <c r="E108" i="1"/>
  <c r="F48" i="1"/>
  <c r="C34" i="1"/>
  <c r="C46" i="1"/>
  <c r="C43" i="1"/>
  <c r="C30" i="1"/>
  <c r="C31" i="1" l="1"/>
  <c r="C90" i="1"/>
  <c r="C91" i="1"/>
  <c r="C48" i="1"/>
  <c r="C92" i="1"/>
  <c r="C95" i="1" l="1"/>
</calcChain>
</file>

<file path=xl/sharedStrings.xml><?xml version="1.0" encoding="utf-8"?>
<sst xmlns="http://schemas.openxmlformats.org/spreadsheetml/2006/main" count="205" uniqueCount="162">
  <si>
    <t>Підприємство</t>
  </si>
  <si>
    <t>Коди</t>
  </si>
  <si>
    <t>Орган управління</t>
  </si>
  <si>
    <t>Южненська міська рада</t>
  </si>
  <si>
    <t>За ЄДРПОУ</t>
  </si>
  <si>
    <t>Галузь</t>
  </si>
  <si>
    <t>Охорона здоров’я</t>
  </si>
  <si>
    <t>За СПОДУ</t>
  </si>
  <si>
    <t>Вид економічної діяльності</t>
  </si>
  <si>
    <t>Діяльність лікарняних закладів</t>
  </si>
  <si>
    <t>За ЗКНГ</t>
  </si>
  <si>
    <t>За КВЕД</t>
  </si>
  <si>
    <t>86.10</t>
  </si>
  <si>
    <t>(04842) 3-52-01</t>
  </si>
  <si>
    <t>Керівник</t>
  </si>
  <si>
    <t>Показники</t>
  </si>
  <si>
    <t>Код рядка</t>
  </si>
  <si>
    <t>Плановий рік, усього</t>
  </si>
  <si>
    <t>У тому числі за кварталами</t>
  </si>
  <si>
    <t>І</t>
  </si>
  <si>
    <t>ІІ</t>
  </si>
  <si>
    <t>ІІІ</t>
  </si>
  <si>
    <t>ІV</t>
  </si>
  <si>
    <t>І. Фінансові результати</t>
  </si>
  <si>
    <t>Дохід (виручка) від реалізації продукції (товарів, робіт, послуг)</t>
  </si>
  <si>
    <t>Податок на додану вартість</t>
  </si>
  <si>
    <t>Акцизний збір</t>
  </si>
  <si>
    <t>Інші вирахування з доходу</t>
  </si>
  <si>
    <t>за рахунок субвенції з Державного бюджету</t>
  </si>
  <si>
    <t>за рахунок місцевого бюджету</t>
  </si>
  <si>
    <t>за договорами НСЗУ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</si>
  <si>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</si>
  <si>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</si>
  <si>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</si>
  <si>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</si>
  <si>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</si>
  <si>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</si>
  <si>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</si>
  <si>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Валовий:</t>
  </si>
  <si>
    <t>прибуток</t>
  </si>
  <si>
    <t>збиток</t>
  </si>
  <si>
    <t>Інші операційні доходи</t>
  </si>
  <si>
    <t>у тому числі:</t>
  </si>
  <si>
    <t>дохід від операційної оренди активів</t>
  </si>
  <si>
    <t>одержані гранти та субсидії</t>
  </si>
  <si>
    <t>дохід від реалізації необоротних активів, утримуваних для продажу</t>
  </si>
  <si>
    <t>дохід від платних послуг</t>
  </si>
  <si>
    <t>Витрати на збут (сума рядків зі 101 по 105)</t>
  </si>
  <si>
    <t>Інші операційні витрати</t>
  </si>
  <si>
    <t>Фінансові результати від операційної діяльності:</t>
  </si>
  <si>
    <t>Дохід від участі в капіталі</t>
  </si>
  <si>
    <t>Інші фінансові доходи</t>
  </si>
  <si>
    <t>Інші доходи</t>
  </si>
  <si>
    <t>від реалізації фінансових інвестицій</t>
  </si>
  <si>
    <t>від безплатно одержаних активів</t>
  </si>
  <si>
    <t>Фінансові витрати</t>
  </si>
  <si>
    <t>Витрати від участі в капіталі</t>
  </si>
  <si>
    <t>Інші витрати</t>
  </si>
  <si>
    <t>Фінансові результати від звичайної діяльності до оподаткування:</t>
  </si>
  <si>
    <t>Податок на прибуток</t>
  </si>
  <si>
    <t>Чистий:</t>
  </si>
  <si>
    <t>Відрахування частини прибутку до бюджету</t>
  </si>
  <si>
    <t>ІІ. Елементи операційних витрат (разом)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</si>
  <si>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</si>
  <si>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</si>
  <si>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</si>
  <si>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</si>
  <si>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Разом (сума рядків із 310 по 350)</t>
  </si>
  <si>
    <t>ІІІ. Капітальні інвестиції протягом року</t>
  </si>
  <si>
    <t>Капітальне будівництво</t>
  </si>
  <si>
    <t>у тому числі за рахунок бюджетних коштів</t>
  </si>
  <si>
    <t>Придбання (виготовлення) основних засобів та інших необоротних матеріальних активів</t>
  </si>
  <si>
    <t>Придбання (створення) нематеріальних активів)</t>
  </si>
  <si>
    <t>Погашення отриманих на капітальні інвестиції позик</t>
  </si>
  <si>
    <t>Модернізація, модифікація, дообладнання, реконструкція, інші види поліпшення необоротних активів</t>
  </si>
  <si>
    <t>Разом (сума рядків 410,420, 430, 440, 450)</t>
  </si>
  <si>
    <t>у тому числі за рахунок бюджетних коштів (сума рядків 411, 421, 431, 441, 451)</t>
  </si>
  <si>
    <t>ІV. Додаткова інформація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</si>
  <si>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</si>
  <si>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</si>
  <si>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</si>
  <si>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одиниця виміру: тис. грн.</t>
  </si>
  <si>
    <t xml:space="preserve">Місцезнаходження  </t>
  </si>
  <si>
    <t xml:space="preserve">Телефон </t>
  </si>
  <si>
    <t>вул. Хіміків, 1, м. Южне, Одеська область, індекс 65481</t>
  </si>
  <si>
    <t>Комунальне некомерційне підприємство «Южненська міська лікарня» Южненської міської ради</t>
  </si>
  <si>
    <t>010</t>
  </si>
  <si>
    <t>020</t>
  </si>
  <si>
    <t>030</t>
  </si>
  <si>
    <t>040</t>
  </si>
  <si>
    <t>050</t>
  </si>
  <si>
    <t>051</t>
  </si>
  <si>
    <t>052</t>
  </si>
  <si>
    <t>053</t>
  </si>
  <si>
    <t>060</t>
  </si>
  <si>
    <t>061</t>
  </si>
  <si>
    <t>062</t>
  </si>
  <si>
    <t>063</t>
  </si>
  <si>
    <t>064</t>
  </si>
  <si>
    <t>065</t>
  </si>
  <si>
    <t>071</t>
  </si>
  <si>
    <t>072</t>
  </si>
  <si>
    <t>080</t>
  </si>
  <si>
    <t>081</t>
  </si>
  <si>
    <t>082</t>
  </si>
  <si>
    <t>083</t>
  </si>
  <si>
    <t>084</t>
  </si>
  <si>
    <t>Адміністративні витрати
(сума рядків із 091 по 095)</t>
  </si>
  <si>
    <t>090</t>
  </si>
  <si>
    <t>091</t>
  </si>
  <si>
    <t>092</t>
  </si>
  <si>
    <t>093</t>
  </si>
  <si>
    <t>094</t>
  </si>
  <si>
    <t>095</t>
  </si>
  <si>
    <t>Інші операційні витрати
(сума рядків з 111 по 115)</t>
  </si>
  <si>
    <t>Керуюча справами міськвиконкому</t>
  </si>
  <si>
    <t>Шегида Л.Г.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</si>
  <si>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</si>
  <si>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085</t>
  </si>
  <si>
    <t>благодійні внески, гранти та дарунки</t>
  </si>
  <si>
    <t>Чистий дохід (виручка) від реалізації продукції (товарів, робіт, послуг) (сума рядків із 051 по 054 та 080 ), в т.ч.:</t>
  </si>
  <si>
    <t>інші субвенції з місцевого бюджету</t>
  </si>
  <si>
    <t>Додаток1</t>
  </si>
  <si>
    <t xml:space="preserve">до пояснювальної записки </t>
  </si>
  <si>
    <t>(тис.грн)</t>
  </si>
  <si>
    <t>Найменування</t>
  </si>
  <si>
    <t>1 квартал</t>
  </si>
  <si>
    <t>2 квартал</t>
  </si>
  <si>
    <t>3 квартал</t>
  </si>
  <si>
    <t>4 квартал</t>
  </si>
  <si>
    <t>ВСЬОГО</t>
  </si>
  <si>
    <t>Місцевий бюджет</t>
  </si>
  <si>
    <t>МБ</t>
  </si>
  <si>
    <t>НСЗУ</t>
  </si>
  <si>
    <t>власні</t>
  </si>
  <si>
    <t>Оплата праці  і нарахування</t>
  </si>
  <si>
    <t>Заробітна плата</t>
  </si>
  <si>
    <t>Продукти харчування</t>
  </si>
  <si>
    <t>Інші операційні витрати (соціальне забезпечення, інші поточні видатки)</t>
  </si>
  <si>
    <t xml:space="preserve">Відрядження </t>
  </si>
  <si>
    <t>Інші виплати населенню</t>
  </si>
  <si>
    <t>Інші поточні видатки</t>
  </si>
  <si>
    <t>Капітальні інвестиції протягом року:</t>
  </si>
  <si>
    <t>Придбання обладнання і предметів довгострокового користування</t>
  </si>
  <si>
    <t>Капітальний ремонт</t>
  </si>
  <si>
    <t>Всього</t>
  </si>
  <si>
    <t>В.о.генерального директора</t>
  </si>
  <si>
    <t>Марія ГОРІШНА</t>
  </si>
  <si>
    <t>_____________</t>
  </si>
  <si>
    <t>Чисельність працівників, штатних одиниць</t>
  </si>
  <si>
    <t>Горішна Марія Іванівна</t>
  </si>
  <si>
    <t>Фінансовий план підприємства на 2024 рік</t>
  </si>
  <si>
    <t>Послуги з зубопротезування пільгової категорії громадян</t>
  </si>
  <si>
    <t>Оплата комунальних послуг та енергоносіїв</t>
  </si>
  <si>
    <t>Медикаменти та перев' язувальні матеріали</t>
  </si>
  <si>
    <t>Предмети, матеріали, обладнання та інвентар</t>
  </si>
  <si>
    <t>Нарахування на оплату праці</t>
  </si>
  <si>
    <t>Розрахункова таблиця до фінансового плану Комунального некомерційного підприємства «Южненська міська лікарня»                                                        Южненської міської ради на 2024 рік</t>
  </si>
  <si>
    <t>Оплата послуг (крім комунальних)</t>
  </si>
  <si>
    <t>Владислав ТЕРЕЩЕНКО</t>
  </si>
  <si>
    <t>Керуючий справами виконавчого комітету</t>
  </si>
  <si>
    <t>Додаток 
до рішення виконавчого комітету Южненської міської ради    від 12.12.2023 № 1366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</si>
</sst>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"/>
    <numFmt numFmtId="166" formatCode="#,##0.0000"/>
    <numFmt numFmtId="167" formatCode="0.000000"/>
  </numFmts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Calibri"/>
      <family val="2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1" fontId="6" fillId="2" borderId="6" xfId="0" applyNumberFormat="1" applyFont="1" applyFill="1" applyBorder="1" applyAlignment="1">
      <alignment horizontal="center" wrapText="1"/>
    </xf>
    <xf numFmtId="0" fontId="6" fillId="0" borderId="0" xfId="0" applyFont="1"/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165" fontId="6" fillId="0" borderId="1" xfId="0" applyNumberFormat="1" applyFont="1" applyBorder="1" applyAlignment="1">
      <alignment horizontal="center" vertical="center"/>
    </xf>
    <xf numFmtId="4" fontId="3" fillId="0" borderId="0" xfId="0" applyNumberFormat="1" applyFont="1"/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5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/>
    <xf numFmtId="165" fontId="5" fillId="3" borderId="1" xfId="0" applyNumberFormat="1" applyFont="1" applyFill="1" applyBorder="1"/>
    <xf numFmtId="165" fontId="3" fillId="3" borderId="1" xfId="0" applyNumberFormat="1" applyFont="1" applyFill="1" applyBorder="1"/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0" fontId="7" fillId="3" borderId="1" xfId="0" applyFont="1" applyFill="1" applyBorder="1"/>
    <xf numFmtId="165" fontId="5" fillId="0" borderId="0" xfId="0" applyNumberFormat="1" applyFont="1"/>
    <xf numFmtId="165" fontId="3" fillId="0" borderId="1" xfId="0" applyNumberFormat="1" applyFont="1" applyBorder="1"/>
    <xf numFmtId="165" fontId="5" fillId="0" borderId="1" xfId="0" applyNumberFormat="1" applyFont="1" applyBorder="1"/>
    <xf numFmtId="165" fontId="6" fillId="0" borderId="0" xfId="0" applyNumberFormat="1" applyFont="1"/>
    <xf numFmtId="4" fontId="5" fillId="0" borderId="0" xfId="0" applyNumberFormat="1" applyFont="1" applyAlignment="1">
      <alignment horizontal="center"/>
    </xf>
    <xf numFmtId="165" fontId="3" fillId="3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right"/>
    </xf>
    <xf numFmtId="165" fontId="7" fillId="0" borderId="0" xfId="0" applyNumberFormat="1" applyFont="1"/>
    <xf numFmtId="165" fontId="1" fillId="3" borderId="1" xfId="0" applyNumberFormat="1" applyFont="1" applyFill="1" applyBorder="1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wrapText="1"/>
    </xf>
    <xf numFmtId="164" fontId="3" fillId="3" borderId="1" xfId="0" applyNumberFormat="1" applyFont="1" applyFill="1" applyBorder="1"/>
    <xf numFmtId="0" fontId="7" fillId="0" borderId="0" xfId="0" applyFont="1" applyAlignment="1">
      <alignment horizontal="left"/>
    </xf>
    <xf numFmtId="0" fontId="7" fillId="4" borderId="1" xfId="0" applyFont="1" applyFill="1" applyBorder="1" applyAlignment="1">
      <alignment vertical="center" wrapText="1"/>
    </xf>
    <xf numFmtId="165" fontId="7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/>
    <xf numFmtId="165" fontId="5" fillId="4" borderId="1" xfId="0" applyNumberFormat="1" applyFont="1" applyFill="1" applyBorder="1"/>
    <xf numFmtId="0" fontId="7" fillId="4" borderId="1" xfId="0" applyFont="1" applyFill="1" applyBorder="1"/>
    <xf numFmtId="0" fontId="7" fillId="4" borderId="0" xfId="0" applyFont="1" applyFill="1"/>
    <xf numFmtId="0" fontId="3" fillId="4" borderId="1" xfId="0" applyFont="1" applyFill="1" applyBorder="1" applyAlignment="1">
      <alignment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0" xfId="0" applyFont="1" applyFill="1"/>
    <xf numFmtId="0" fontId="10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horizontal="center" vertical="center"/>
    </xf>
    <xf numFmtId="165" fontId="10" fillId="3" borderId="1" xfId="0" applyNumberFormat="1" applyFont="1" applyFill="1" applyBorder="1"/>
    <xf numFmtId="165" fontId="11" fillId="3" borderId="1" xfId="0" applyNumberFormat="1" applyFont="1" applyFill="1" applyBorder="1"/>
    <xf numFmtId="0" fontId="10" fillId="3" borderId="1" xfId="0" applyFont="1" applyFill="1" applyBorder="1"/>
    <xf numFmtId="0" fontId="10" fillId="0" borderId="0" xfId="0" applyFont="1"/>
    <xf numFmtId="0" fontId="5" fillId="4" borderId="1" xfId="0" applyFont="1" applyFill="1" applyBorder="1" applyAlignment="1">
      <alignment vertical="center" wrapText="1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/>
    <xf numFmtId="165" fontId="3" fillId="4" borderId="0" xfId="0" applyNumberFormat="1" applyFont="1" applyFill="1"/>
    <xf numFmtId="0" fontId="5" fillId="4" borderId="0" xfId="0" applyFont="1" applyFill="1"/>
    <xf numFmtId="165" fontId="3" fillId="5" borderId="1" xfId="0" applyNumberFormat="1" applyFont="1" applyFill="1" applyBorder="1" applyAlignment="1">
      <alignment horizontal="center" vertical="center"/>
    </xf>
    <xf numFmtId="165" fontId="3" fillId="6" borderId="1" xfId="0" applyNumberFormat="1" applyFont="1" applyFill="1" applyBorder="1" applyAlignment="1">
      <alignment horizontal="center" vertical="center"/>
    </xf>
    <xf numFmtId="0" fontId="12" fillId="0" borderId="0" xfId="0" applyFont="1"/>
    <xf numFmtId="165" fontId="13" fillId="0" borderId="0" xfId="0" applyNumberFormat="1" applyFont="1"/>
    <xf numFmtId="165" fontId="14" fillId="0" borderId="0" xfId="0" applyNumberFormat="1" applyFont="1"/>
    <xf numFmtId="0" fontId="13" fillId="0" borderId="0" xfId="0" applyFont="1"/>
    <xf numFmtId="165" fontId="15" fillId="0" borderId="0" xfId="0" applyNumberFormat="1" applyFont="1"/>
    <xf numFmtId="0" fontId="15" fillId="0" borderId="0" xfId="0" applyFont="1"/>
    <xf numFmtId="165" fontId="5" fillId="6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3"/>
    </xf>
    <xf numFmtId="164" fontId="1" fillId="0" borderId="0" xfId="0" applyNumberFormat="1" applyFont="1"/>
    <xf numFmtId="165" fontId="1" fillId="0" borderId="0" xfId="0" applyNumberFormat="1" applyFont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0" fontId="1" fillId="7" borderId="0" xfId="0" applyFont="1" applyFill="1"/>
    <xf numFmtId="165" fontId="1" fillId="7" borderId="0" xfId="0" applyNumberFormat="1" applyFont="1" applyFill="1"/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2"/>
  <sheetViews>
    <sheetView tabSelected="1" topLeftCell="A107" zoomScaleNormal="100" zoomScaleSheetLayoutView="100" workbookViewId="0">
      <selection sqref="A1:G123"/>
    </sheetView>
  </sheetViews>
  <sheetFormatPr defaultColWidth="9.140625" defaultRowHeight="15.75" x14ac:dyDescent="0.25"/>
  <cols>
    <col min="1" max="1" width="34.5703125" style="39" customWidth="1"/>
    <col min="2" max="2" width="12.5703125" style="39" customWidth="1"/>
    <col min="3" max="3" width="17" style="39" customWidth="1"/>
    <col min="4" max="4" width="14.28515625" style="39" bestFit="1" customWidth="1"/>
    <col min="5" max="5" width="13" style="39" customWidth="1"/>
    <col min="6" max="6" width="13.28515625" style="39" customWidth="1"/>
    <col min="7" max="7" width="13.140625" style="39" customWidth="1"/>
    <col min="8" max="8" width="9.140625" style="39"/>
    <col min="9" max="9" width="12.140625" style="39" bestFit="1" customWidth="1"/>
    <col min="10" max="10" width="10.7109375" style="39" bestFit="1" customWidth="1"/>
    <col min="11" max="11" width="15.5703125" style="39" customWidth="1"/>
    <col min="12" max="13" width="10.7109375" style="39" bestFit="1" customWidth="1"/>
    <col min="14" max="16384" width="9.140625" style="39"/>
  </cols>
  <sheetData>
    <row r="1" spans="1:12" ht="68.25" customHeight="1" x14ac:dyDescent="0.25">
      <c r="E1" s="108" t="s">
        <v>161</v>
      </c>
      <c r="F1" s="109"/>
      <c r="G1" s="109"/>
    </row>
    <row r="2" spans="1:12" ht="17.25" customHeight="1" x14ac:dyDescent="0.25">
      <c r="E2" s="109"/>
      <c r="F2" s="109"/>
      <c r="G2" s="109"/>
    </row>
    <row r="3" spans="1:12" ht="40.5" customHeight="1" x14ac:dyDescent="0.3">
      <c r="A3" s="116" t="s">
        <v>151</v>
      </c>
      <c r="B3" s="117"/>
      <c r="C3" s="117"/>
      <c r="D3" s="117"/>
      <c r="E3" s="117"/>
      <c r="F3" s="117"/>
      <c r="G3" s="117"/>
    </row>
    <row r="5" spans="1:12" ht="35.25" customHeight="1" x14ac:dyDescent="0.25">
      <c r="A5" s="118" t="s">
        <v>0</v>
      </c>
      <c r="B5" s="111" t="s">
        <v>85</v>
      </c>
      <c r="C5" s="112"/>
      <c r="D5" s="106" t="s">
        <v>1</v>
      </c>
      <c r="E5" s="110"/>
      <c r="F5" s="110"/>
      <c r="G5" s="107"/>
      <c r="L5" s="39" t="s">
        <v>117</v>
      </c>
    </row>
    <row r="6" spans="1:12" ht="28.5" customHeight="1" x14ac:dyDescent="0.25">
      <c r="A6" s="119"/>
      <c r="B6" s="113"/>
      <c r="C6" s="114"/>
      <c r="D6" s="106" t="s">
        <v>4</v>
      </c>
      <c r="E6" s="107"/>
      <c r="F6" s="106">
        <v>34592230</v>
      </c>
      <c r="G6" s="107"/>
    </row>
    <row r="7" spans="1:12" ht="28.15" customHeight="1" x14ac:dyDescent="0.25">
      <c r="A7" s="40" t="s">
        <v>2</v>
      </c>
      <c r="B7" s="103" t="s">
        <v>3</v>
      </c>
      <c r="C7" s="105"/>
      <c r="D7" s="106" t="s">
        <v>7</v>
      </c>
      <c r="E7" s="107"/>
      <c r="F7" s="106"/>
      <c r="G7" s="107"/>
    </row>
    <row r="8" spans="1:12" ht="26.45" customHeight="1" x14ac:dyDescent="0.25">
      <c r="A8" s="40" t="s">
        <v>5</v>
      </c>
      <c r="B8" s="103" t="s">
        <v>6</v>
      </c>
      <c r="C8" s="105"/>
      <c r="D8" s="106" t="s">
        <v>10</v>
      </c>
      <c r="E8" s="107"/>
      <c r="F8" s="106"/>
      <c r="G8" s="107"/>
    </row>
    <row r="9" spans="1:12" ht="31.9" customHeight="1" x14ac:dyDescent="0.25">
      <c r="A9" s="40" t="s">
        <v>8</v>
      </c>
      <c r="B9" s="103" t="s">
        <v>9</v>
      </c>
      <c r="C9" s="105"/>
      <c r="D9" s="106" t="s">
        <v>11</v>
      </c>
      <c r="E9" s="107"/>
      <c r="F9" s="106" t="s">
        <v>12</v>
      </c>
      <c r="G9" s="107"/>
    </row>
    <row r="10" spans="1:12" ht="19.149999999999999" customHeight="1" x14ac:dyDescent="0.25">
      <c r="A10" s="40" t="s">
        <v>82</v>
      </c>
      <c r="B10" s="103" t="s">
        <v>84</v>
      </c>
      <c r="C10" s="104"/>
      <c r="D10" s="104"/>
      <c r="E10" s="104"/>
      <c r="F10" s="104"/>
      <c r="G10" s="105"/>
    </row>
    <row r="11" spans="1:12" ht="18.600000000000001" customHeight="1" x14ac:dyDescent="0.25">
      <c r="A11" s="40" t="s">
        <v>83</v>
      </c>
      <c r="B11" s="103" t="s">
        <v>13</v>
      </c>
      <c r="C11" s="104"/>
      <c r="D11" s="104"/>
      <c r="E11" s="104"/>
      <c r="F11" s="104"/>
      <c r="G11" s="105"/>
    </row>
    <row r="12" spans="1:12" ht="19.899999999999999" customHeight="1" x14ac:dyDescent="0.25">
      <c r="A12" s="40" t="s">
        <v>14</v>
      </c>
      <c r="B12" s="103" t="s">
        <v>150</v>
      </c>
      <c r="C12" s="104"/>
      <c r="D12" s="104"/>
      <c r="E12" s="104"/>
      <c r="F12" s="104"/>
      <c r="G12" s="105"/>
    </row>
    <row r="14" spans="1:12" ht="8.25" customHeight="1" x14ac:dyDescent="0.25"/>
    <row r="15" spans="1:12" ht="8.25" customHeight="1" x14ac:dyDescent="0.25">
      <c r="A15" s="41"/>
    </row>
    <row r="16" spans="1:12" x14ac:dyDescent="0.25">
      <c r="A16" s="41"/>
      <c r="E16" s="39" t="s">
        <v>81</v>
      </c>
    </row>
    <row r="17" spans="1:9" x14ac:dyDescent="0.25">
      <c r="A17" s="42">
        <v>1</v>
      </c>
      <c r="B17" s="42">
        <v>2</v>
      </c>
      <c r="C17" s="42">
        <v>3</v>
      </c>
      <c r="D17" s="42">
        <v>4</v>
      </c>
      <c r="E17" s="42">
        <v>5</v>
      </c>
      <c r="F17" s="42">
        <v>6</v>
      </c>
      <c r="G17" s="42">
        <v>7</v>
      </c>
    </row>
    <row r="18" spans="1:9" x14ac:dyDescent="0.25">
      <c r="A18" s="115" t="s">
        <v>15</v>
      </c>
      <c r="B18" s="115" t="s">
        <v>16</v>
      </c>
      <c r="C18" s="115" t="s">
        <v>17</v>
      </c>
      <c r="D18" s="115" t="s">
        <v>18</v>
      </c>
      <c r="E18" s="115"/>
      <c r="F18" s="115"/>
      <c r="G18" s="115"/>
    </row>
    <row r="19" spans="1:9" ht="21.75" customHeight="1" x14ac:dyDescent="0.25">
      <c r="A19" s="115"/>
      <c r="B19" s="115"/>
      <c r="C19" s="115"/>
      <c r="D19" s="42" t="s">
        <v>19</v>
      </c>
      <c r="E19" s="42" t="s">
        <v>20</v>
      </c>
      <c r="F19" s="42" t="s">
        <v>21</v>
      </c>
      <c r="G19" s="42" t="s">
        <v>22</v>
      </c>
    </row>
    <row r="20" spans="1:9" x14ac:dyDescent="0.25">
      <c r="A20" s="42">
        <v>1</v>
      </c>
      <c r="B20" s="42">
        <v>2</v>
      </c>
      <c r="C20" s="42">
        <v>3</v>
      </c>
      <c r="D20" s="42">
        <v>4</v>
      </c>
      <c r="E20" s="42">
        <v>5</v>
      </c>
      <c r="F20" s="42">
        <v>6</v>
      </c>
      <c r="G20" s="42">
        <v>7</v>
      </c>
    </row>
    <row r="21" spans="1:9" ht="21.75" customHeight="1" x14ac:dyDescent="0.25">
      <c r="A21" s="115" t="s">
        <v>23</v>
      </c>
      <c r="B21" s="115"/>
      <c r="C21" s="115"/>
      <c r="D21" s="115"/>
      <c r="E21" s="115"/>
      <c r="F21" s="115"/>
      <c r="G21" s="115"/>
    </row>
    <row r="22" spans="1:9" ht="31.5" x14ac:dyDescent="0.25">
      <c r="A22" s="43" t="s">
        <v>24</v>
      </c>
      <c r="B22" s="44" t="s">
        <v>86</v>
      </c>
      <c r="C22" s="45">
        <f>D22+E22+F22+G22</f>
        <v>69210.893723720001</v>
      </c>
      <c r="D22" s="45">
        <f>D26</f>
        <v>19074.174850000003</v>
      </c>
      <c r="E22" s="45">
        <f>E26</f>
        <v>16740.845122409999</v>
      </c>
      <c r="F22" s="45">
        <f t="shared" ref="F22" si="0">F26</f>
        <v>16244.542501309999</v>
      </c>
      <c r="G22" s="45">
        <f>G26</f>
        <v>17151.331250000003</v>
      </c>
    </row>
    <row r="23" spans="1:9" x14ac:dyDescent="0.25">
      <c r="A23" s="43" t="s">
        <v>25</v>
      </c>
      <c r="B23" s="44" t="s">
        <v>87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</row>
    <row r="24" spans="1:9" x14ac:dyDescent="0.25">
      <c r="A24" s="43" t="s">
        <v>26</v>
      </c>
      <c r="B24" s="44" t="s">
        <v>88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9" x14ac:dyDescent="0.25">
      <c r="A25" s="43" t="s">
        <v>27</v>
      </c>
      <c r="B25" s="44" t="s">
        <v>89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</row>
    <row r="26" spans="1:9" ht="63" x14ac:dyDescent="0.25">
      <c r="A26" s="43" t="s">
        <v>120</v>
      </c>
      <c r="B26" s="44" t="s">
        <v>90</v>
      </c>
      <c r="C26" s="45">
        <f>D26+E26+F26+G26</f>
        <v>69210.893723720001</v>
      </c>
      <c r="D26" s="45">
        <f>D27+D28+D29+D30+D41</f>
        <v>19074.174850000003</v>
      </c>
      <c r="E26" s="45">
        <f>E27+E28+E29+E41+E30</f>
        <v>16740.845122409999</v>
      </c>
      <c r="F26" s="45">
        <f>F27+F28+F29+F41+F30</f>
        <v>16244.542501309999</v>
      </c>
      <c r="G26" s="45">
        <f>G27+G28+G29+G41+G30+0.001</f>
        <v>17151.331250000003</v>
      </c>
      <c r="I26" s="46"/>
    </row>
    <row r="27" spans="1:9" ht="32.25" customHeight="1" x14ac:dyDescent="0.25">
      <c r="A27" s="43" t="s">
        <v>28</v>
      </c>
      <c r="B27" s="44" t="s">
        <v>91</v>
      </c>
      <c r="C27" s="45">
        <f>SUM(D27:G27)</f>
        <v>0</v>
      </c>
      <c r="D27" s="45">
        <v>0</v>
      </c>
      <c r="E27" s="45">
        <v>0</v>
      </c>
      <c r="F27" s="45">
        <v>0</v>
      </c>
      <c r="G27" s="45">
        <v>0</v>
      </c>
      <c r="I27" s="46"/>
    </row>
    <row r="28" spans="1:9" s="101" customFormat="1" ht="31.9" hidden="1" customHeight="1" x14ac:dyDescent="0.25">
      <c r="A28" s="99" t="s">
        <v>121</v>
      </c>
      <c r="B28" s="100" t="s">
        <v>92</v>
      </c>
      <c r="C28" s="98">
        <v>0</v>
      </c>
      <c r="D28" s="98">
        <v>0</v>
      </c>
      <c r="E28" s="98">
        <v>0</v>
      </c>
      <c r="F28" s="98">
        <v>0</v>
      </c>
      <c r="G28" s="98">
        <v>0</v>
      </c>
      <c r="I28" s="102"/>
    </row>
    <row r="29" spans="1:9" ht="30.75" customHeight="1" x14ac:dyDescent="0.25">
      <c r="A29" s="43" t="s">
        <v>29</v>
      </c>
      <c r="B29" s="44" t="s">
        <v>92</v>
      </c>
      <c r="C29" s="45">
        <f>SUM(D29:G29)+0.001</f>
        <v>22925.874000000003</v>
      </c>
      <c r="D29" s="45">
        <f>обсяги!B26</f>
        <v>7047.0457500000002</v>
      </c>
      <c r="E29" s="45">
        <f>обсяги!E26</f>
        <v>5086.84375</v>
      </c>
      <c r="F29" s="45">
        <f>обсяги!H26</f>
        <v>4655.8487500000001</v>
      </c>
      <c r="G29" s="45">
        <f>обсяги!K26</f>
        <v>6136.1347500000002</v>
      </c>
      <c r="I29" s="46"/>
    </row>
    <row r="30" spans="1:9" ht="28.5" customHeight="1" x14ac:dyDescent="0.25">
      <c r="A30" s="43" t="s">
        <v>30</v>
      </c>
      <c r="B30" s="44" t="s">
        <v>93</v>
      </c>
      <c r="C30" s="45">
        <f>SUM(D30:G30)</f>
        <v>44625.019723720005</v>
      </c>
      <c r="D30" s="45">
        <f>обсяги!C26</f>
        <v>11603.8881</v>
      </c>
      <c r="E30" s="45">
        <f>обсяги!F26</f>
        <v>11130.16037241</v>
      </c>
      <c r="F30" s="45">
        <f>обсяги!I26</f>
        <v>11104.45275131</v>
      </c>
      <c r="G30" s="45">
        <f>обсяги!L26</f>
        <v>10786.518500000002</v>
      </c>
    </row>
    <row r="31" spans="1:9" ht="34.5" customHeight="1" x14ac:dyDescent="0.25">
      <c r="A31" s="43" t="s">
        <v>31</v>
      </c>
      <c r="B31" s="44" t="s">
        <v>94</v>
      </c>
      <c r="C31" s="45">
        <f>SUM(D31:G31)-0.001</f>
        <v>54255.842578976015</v>
      </c>
      <c r="D31" s="45">
        <f>D33+D34+D37+D36+D107</f>
        <v>15094.347030000003</v>
      </c>
      <c r="E31" s="45">
        <f>E33+E34+E37+E36+E107</f>
        <v>12987.203247928001</v>
      </c>
      <c r="F31" s="45">
        <f>F33+F34+F37+F36+F107</f>
        <v>12622.241151048003</v>
      </c>
      <c r="G31" s="45">
        <f>G33+G34+G37+G36+G107+0.001</f>
        <v>13552.052150000001</v>
      </c>
    </row>
    <row r="32" spans="1:9" ht="31.5" x14ac:dyDescent="0.25">
      <c r="A32" s="43" t="s">
        <v>32</v>
      </c>
      <c r="B32" s="85"/>
      <c r="C32" s="86"/>
      <c r="D32" s="86"/>
      <c r="E32" s="86"/>
      <c r="F32" s="86"/>
      <c r="G32" s="86"/>
    </row>
    <row r="33" spans="1:13" ht="18" customHeight="1" x14ac:dyDescent="0.25">
      <c r="A33" s="87" t="s">
        <v>33</v>
      </c>
      <c r="B33" s="44" t="s">
        <v>95</v>
      </c>
      <c r="C33" s="45">
        <f>SUM(D33:G33)</f>
        <v>11222.570400000001</v>
      </c>
      <c r="D33" s="45">
        <f>(обсяги!B12+обсяги!C12)*80%</f>
        <v>3658.7800000000007</v>
      </c>
      <c r="E33" s="45">
        <f>(обсяги!E12+обсяги!F12)*80%</f>
        <v>2480.6984000000002</v>
      </c>
      <c r="F33" s="45">
        <f>(обсяги!H12+обсяги!I12)*80%</f>
        <v>2251.8224</v>
      </c>
      <c r="G33" s="45">
        <f>(обсяги!K12+обсяги!L12)*80%</f>
        <v>2831.2696000000001</v>
      </c>
      <c r="I33" s="88"/>
      <c r="J33" s="88"/>
      <c r="K33" s="88"/>
      <c r="L33" s="88"/>
    </row>
    <row r="34" spans="1:13" ht="18" customHeight="1" x14ac:dyDescent="0.25">
      <c r="A34" s="87" t="s">
        <v>34</v>
      </c>
      <c r="B34" s="44" t="s">
        <v>96</v>
      </c>
      <c r="C34" s="45">
        <f t="shared" ref="C34" si="1">SUM(D34:G34)</f>
        <v>41957.630178976004</v>
      </c>
      <c r="D34" s="89">
        <f>(обсяги!B9+обсяги!C9)*80%</f>
        <v>10567.567280000001</v>
      </c>
      <c r="E34" s="90">
        <f>(обсяги!E9+обсяги!F9)*80%</f>
        <v>10438.505097928</v>
      </c>
      <c r="F34" s="90">
        <f>(обсяги!H9+обсяги!I9)*80%</f>
        <v>10300.419001048002</v>
      </c>
      <c r="G34" s="90">
        <f>(обсяги!K9+обсяги!L9)*80%</f>
        <v>10651.138800000001</v>
      </c>
      <c r="I34" s="46"/>
      <c r="J34" s="46"/>
      <c r="L34" s="88"/>
      <c r="M34" s="88"/>
    </row>
    <row r="35" spans="1:13" ht="31.5" x14ac:dyDescent="0.25">
      <c r="A35" s="87" t="s">
        <v>35</v>
      </c>
      <c r="B35" s="44" t="s">
        <v>97</v>
      </c>
      <c r="C35" s="45">
        <f>SUM(D35:G35)</f>
        <v>0</v>
      </c>
      <c r="D35" s="91">
        <v>0</v>
      </c>
      <c r="E35" s="91">
        <v>0</v>
      </c>
      <c r="F35" s="91">
        <v>0</v>
      </c>
      <c r="G35" s="91">
        <v>0</v>
      </c>
      <c r="L35" s="88"/>
    </row>
    <row r="36" spans="1:13" ht="17.25" customHeight="1" x14ac:dyDescent="0.25">
      <c r="A36" s="87" t="s">
        <v>36</v>
      </c>
      <c r="B36" s="44" t="s">
        <v>98</v>
      </c>
      <c r="C36" s="45">
        <f t="shared" ref="C36" si="2">SUM(D38:G38)</f>
        <v>0</v>
      </c>
      <c r="D36" s="45">
        <v>0</v>
      </c>
      <c r="E36" s="45">
        <v>0</v>
      </c>
      <c r="F36" s="45">
        <v>0</v>
      </c>
      <c r="G36" s="45">
        <v>0</v>
      </c>
      <c r="I36" s="88"/>
      <c r="J36" s="88"/>
      <c r="K36" s="88"/>
      <c r="L36" s="88"/>
    </row>
    <row r="37" spans="1:13" ht="18.75" customHeight="1" x14ac:dyDescent="0.25">
      <c r="A37" s="87" t="s">
        <v>37</v>
      </c>
      <c r="B37" s="44" t="s">
        <v>99</v>
      </c>
      <c r="C37" s="45">
        <f>SUM(D37:G37)+0.001</f>
        <v>275.64300000000003</v>
      </c>
      <c r="D37" s="45">
        <f>обсяги!B18</f>
        <v>67.999750000000006</v>
      </c>
      <c r="E37" s="45">
        <f>обсяги!E18</f>
        <v>67.999750000000006</v>
      </c>
      <c r="F37" s="45">
        <f>обсяги!H18</f>
        <v>69.999750000000006</v>
      </c>
      <c r="G37" s="45">
        <f>обсяги!K18</f>
        <v>69.642750000000007</v>
      </c>
      <c r="I37" s="88"/>
      <c r="J37" s="88"/>
      <c r="K37" s="88"/>
      <c r="L37" s="88"/>
    </row>
    <row r="38" spans="1:13" x14ac:dyDescent="0.25">
      <c r="A38" s="43" t="s">
        <v>38</v>
      </c>
      <c r="B38" s="85"/>
      <c r="C38" s="86"/>
      <c r="D38" s="86"/>
      <c r="E38" s="86"/>
      <c r="F38" s="86"/>
      <c r="G38" s="86"/>
    </row>
    <row r="39" spans="1:13" x14ac:dyDescent="0.25">
      <c r="A39" s="87" t="s">
        <v>39</v>
      </c>
      <c r="B39" s="44" t="s">
        <v>100</v>
      </c>
      <c r="C39" s="45">
        <f>D39+E39+F39+G39</f>
        <v>1659.9999999999998</v>
      </c>
      <c r="D39" s="45">
        <f>D41</f>
        <v>423.24099999999999</v>
      </c>
      <c r="E39" s="45">
        <f t="shared" ref="E39:G39" si="3">E41</f>
        <v>523.84099999999989</v>
      </c>
      <c r="F39" s="45">
        <f t="shared" si="3"/>
        <v>484.24099999999999</v>
      </c>
      <c r="G39" s="45">
        <f t="shared" si="3"/>
        <v>228.67699999999996</v>
      </c>
    </row>
    <row r="40" spans="1:13" x14ac:dyDescent="0.25">
      <c r="A40" s="87" t="s">
        <v>40</v>
      </c>
      <c r="B40" s="44" t="s">
        <v>101</v>
      </c>
      <c r="C40" s="45"/>
      <c r="D40" s="45"/>
      <c r="E40" s="45"/>
      <c r="F40" s="45"/>
      <c r="G40" s="45"/>
    </row>
    <row r="41" spans="1:13" ht="21" customHeight="1" x14ac:dyDescent="0.25">
      <c r="A41" s="43" t="s">
        <v>41</v>
      </c>
      <c r="B41" s="44" t="s">
        <v>102</v>
      </c>
      <c r="C41" s="45">
        <f>D41+E41+F41+G41</f>
        <v>1659.9999999999998</v>
      </c>
      <c r="D41" s="45">
        <f>SUM(D43:D47)</f>
        <v>423.24099999999999</v>
      </c>
      <c r="E41" s="45">
        <f>SUM(E43:E47)</f>
        <v>523.84099999999989</v>
      </c>
      <c r="F41" s="45">
        <f>SUM(F43:F47)</f>
        <v>484.24099999999999</v>
      </c>
      <c r="G41" s="45">
        <f t="shared" ref="G41" si="4">SUM(G43:G47)</f>
        <v>228.67699999999996</v>
      </c>
    </row>
    <row r="42" spans="1:13" x14ac:dyDescent="0.25">
      <c r="A42" s="43" t="s">
        <v>42</v>
      </c>
      <c r="B42" s="85"/>
      <c r="C42" s="86"/>
      <c r="D42" s="86"/>
      <c r="E42" s="86"/>
      <c r="F42" s="86"/>
      <c r="G42" s="86"/>
    </row>
    <row r="43" spans="1:13" ht="31.5" x14ac:dyDescent="0.25">
      <c r="A43" s="87" t="s">
        <v>43</v>
      </c>
      <c r="B43" s="44" t="s">
        <v>103</v>
      </c>
      <c r="C43" s="45">
        <f>SUM(D43:G43)</f>
        <v>829.42599999999993</v>
      </c>
      <c r="D43" s="45">
        <f>126.33+90</f>
        <v>216.32999999999998</v>
      </c>
      <c r="E43" s="45">
        <f>126.33+100+20</f>
        <v>246.32999999999998</v>
      </c>
      <c r="F43" s="45">
        <f>126.33+85+50</f>
        <v>261.33</v>
      </c>
      <c r="G43" s="45">
        <f>126.33+350-285-85.894</f>
        <v>105.43599999999998</v>
      </c>
    </row>
    <row r="44" spans="1:13" ht="17.25" customHeight="1" x14ac:dyDescent="0.25">
      <c r="A44" s="87" t="s">
        <v>44</v>
      </c>
      <c r="B44" s="44" t="s">
        <v>104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</row>
    <row r="45" spans="1:13" ht="47.25" x14ac:dyDescent="0.25">
      <c r="A45" s="87" t="s">
        <v>45</v>
      </c>
      <c r="B45" s="44" t="s">
        <v>105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</row>
    <row r="46" spans="1:13" ht="23.25" customHeight="1" x14ac:dyDescent="0.25">
      <c r="A46" s="87" t="s">
        <v>46</v>
      </c>
      <c r="B46" s="44" t="s">
        <v>106</v>
      </c>
      <c r="C46" s="45">
        <f>SUM(D46:G46)</f>
        <v>830.57399999999996</v>
      </c>
      <c r="D46" s="45">
        <f>147.011+47-0.365+13.265</f>
        <v>206.911</v>
      </c>
      <c r="E46" s="45">
        <f>147.011+80+70.5-30+10</f>
        <v>277.51099999999997</v>
      </c>
      <c r="F46" s="45">
        <f>147.011+75.9+100-50-50</f>
        <v>222.911</v>
      </c>
      <c r="G46" s="45">
        <v>123.241</v>
      </c>
    </row>
    <row r="47" spans="1:13" ht="30.75" customHeight="1" x14ac:dyDescent="0.25">
      <c r="A47" s="87" t="s">
        <v>119</v>
      </c>
      <c r="B47" s="44" t="s">
        <v>118</v>
      </c>
      <c r="C47" s="45">
        <f>SUM(D47:G47)</f>
        <v>0</v>
      </c>
      <c r="D47" s="45">
        <v>0</v>
      </c>
      <c r="E47" s="45">
        <v>0</v>
      </c>
      <c r="F47" s="45">
        <v>0</v>
      </c>
      <c r="G47" s="45">
        <v>0</v>
      </c>
    </row>
    <row r="48" spans="1:13" ht="32.25" customHeight="1" x14ac:dyDescent="0.25">
      <c r="A48" s="43" t="s">
        <v>107</v>
      </c>
      <c r="B48" s="44" t="s">
        <v>108</v>
      </c>
      <c r="C48" s="45">
        <f>SUM(C50:C54)</f>
        <v>13295.050144744</v>
      </c>
      <c r="D48" s="45">
        <f>SUM(D50:D54)</f>
        <v>3556.5868200000004</v>
      </c>
      <c r="E48" s="45">
        <f>SUM(E50:E54)</f>
        <v>3229.8008744819999</v>
      </c>
      <c r="F48" s="45">
        <f t="shared" ref="F48" si="5">SUM(F50:F54)</f>
        <v>3138.0603502620006</v>
      </c>
      <c r="G48" s="45">
        <f>SUM(G50:G54)</f>
        <v>3370.6021000000001</v>
      </c>
    </row>
    <row r="49" spans="1:15" ht="31.5" x14ac:dyDescent="0.25">
      <c r="A49" s="43" t="s">
        <v>32</v>
      </c>
      <c r="B49" s="85"/>
      <c r="C49" s="86"/>
      <c r="D49" s="86"/>
      <c r="E49" s="86"/>
      <c r="F49" s="86"/>
      <c r="G49" s="86"/>
    </row>
    <row r="50" spans="1:15" x14ac:dyDescent="0.25">
      <c r="A50" s="87" t="s">
        <v>33</v>
      </c>
      <c r="B50" s="44" t="s">
        <v>109</v>
      </c>
      <c r="C50" s="45">
        <f>SUM(D50:G50)</f>
        <v>2805.6426000000001</v>
      </c>
      <c r="D50" s="92">
        <f>(обсяги!B12+обсяги!C12)*20%</f>
        <v>914.69500000000016</v>
      </c>
      <c r="E50" s="92">
        <f>(обсяги!E12+обсяги!F12)*20%</f>
        <v>620.17460000000005</v>
      </c>
      <c r="F50" s="92">
        <f>(обсяги!H12+обсяги!I12)*20%</f>
        <v>562.9556</v>
      </c>
      <c r="G50" s="92">
        <f>(обсяги!K12+обсяги!L12)*20%</f>
        <v>707.81740000000002</v>
      </c>
    </row>
    <row r="51" spans="1:15" x14ac:dyDescent="0.25">
      <c r="A51" s="87" t="s">
        <v>34</v>
      </c>
      <c r="B51" s="44" t="s">
        <v>110</v>
      </c>
      <c r="C51" s="45">
        <f>SUM(D51:G51)</f>
        <v>10489.407544744001</v>
      </c>
      <c r="D51" s="45">
        <f>(обсяги!B9+обсяги!C9)*20%</f>
        <v>2641.8918200000003</v>
      </c>
      <c r="E51" s="45">
        <f>(обсяги!E9+обсяги!F9)*20%</f>
        <v>2609.6262744820001</v>
      </c>
      <c r="F51" s="45">
        <f>(обсяги!H9+обсяги!I9)*20%</f>
        <v>2575.1047502620004</v>
      </c>
      <c r="G51" s="45">
        <f>(обсяги!K9+обсяги!L9)*20%</f>
        <v>2662.7847000000002</v>
      </c>
      <c r="O51" s="46"/>
    </row>
    <row r="52" spans="1:15" ht="31.5" x14ac:dyDescent="0.25">
      <c r="A52" s="87" t="s">
        <v>35</v>
      </c>
      <c r="B52" s="44" t="s">
        <v>111</v>
      </c>
      <c r="C52" s="93">
        <f>SUM(D52:G52)</f>
        <v>0</v>
      </c>
      <c r="D52" s="92">
        <v>0</v>
      </c>
      <c r="E52" s="92">
        <v>0</v>
      </c>
      <c r="F52" s="92">
        <v>0</v>
      </c>
      <c r="G52" s="92">
        <v>0</v>
      </c>
    </row>
    <row r="53" spans="1:15" x14ac:dyDescent="0.25">
      <c r="A53" s="87" t="s">
        <v>36</v>
      </c>
      <c r="B53" s="44" t="s">
        <v>112</v>
      </c>
      <c r="C53" s="45">
        <f>SUM(D53:G53)</f>
        <v>0</v>
      </c>
      <c r="D53" s="92">
        <v>0</v>
      </c>
      <c r="E53" s="92">
        <v>0</v>
      </c>
      <c r="F53" s="92">
        <v>0</v>
      </c>
      <c r="G53" s="92">
        <v>0</v>
      </c>
    </row>
    <row r="54" spans="1:15" x14ac:dyDescent="0.25">
      <c r="A54" s="87" t="s">
        <v>37</v>
      </c>
      <c r="B54" s="44" t="s">
        <v>113</v>
      </c>
      <c r="C54" s="45">
        <f>SUM(D54:G54)</f>
        <v>0</v>
      </c>
      <c r="D54" s="92">
        <v>0</v>
      </c>
      <c r="E54" s="92">
        <v>0</v>
      </c>
      <c r="F54" s="92">
        <v>0</v>
      </c>
      <c r="G54" s="92">
        <v>0</v>
      </c>
    </row>
    <row r="55" spans="1:15" ht="31.5" x14ac:dyDescent="0.25">
      <c r="A55" s="43" t="s">
        <v>47</v>
      </c>
      <c r="B55" s="44">
        <v>100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</row>
    <row r="56" spans="1:15" ht="31.5" x14ac:dyDescent="0.25">
      <c r="A56" s="43" t="s">
        <v>32</v>
      </c>
      <c r="B56" s="85"/>
      <c r="C56" s="86"/>
      <c r="D56" s="86"/>
      <c r="E56" s="86"/>
      <c r="F56" s="86"/>
      <c r="G56" s="86"/>
    </row>
    <row r="57" spans="1:15" x14ac:dyDescent="0.25">
      <c r="A57" s="87" t="s">
        <v>33</v>
      </c>
      <c r="B57" s="44">
        <v>101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</row>
    <row r="58" spans="1:15" x14ac:dyDescent="0.25">
      <c r="A58" s="87" t="s">
        <v>34</v>
      </c>
      <c r="B58" s="44">
        <v>102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</row>
    <row r="59" spans="1:15" ht="31.5" x14ac:dyDescent="0.25">
      <c r="A59" s="87" t="s">
        <v>35</v>
      </c>
      <c r="B59" s="44">
        <v>103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</row>
    <row r="60" spans="1:15" x14ac:dyDescent="0.25">
      <c r="A60" s="87" t="s">
        <v>36</v>
      </c>
      <c r="B60" s="44">
        <v>104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</row>
    <row r="61" spans="1:15" x14ac:dyDescent="0.25">
      <c r="A61" s="87" t="s">
        <v>37</v>
      </c>
      <c r="B61" s="44">
        <v>105</v>
      </c>
      <c r="C61" s="45">
        <v>0</v>
      </c>
      <c r="D61" s="45">
        <v>0</v>
      </c>
      <c r="E61" s="45">
        <v>0</v>
      </c>
      <c r="F61" s="45">
        <v>0</v>
      </c>
      <c r="G61" s="45">
        <v>0</v>
      </c>
    </row>
    <row r="62" spans="1:15" ht="31.5" x14ac:dyDescent="0.25">
      <c r="A62" s="43" t="s">
        <v>114</v>
      </c>
      <c r="B62" s="44">
        <v>110</v>
      </c>
      <c r="C62" s="45">
        <f>D62+E62+F62+G62</f>
        <v>1659.9999999999998</v>
      </c>
      <c r="D62" s="45">
        <f>D64+D65+D66+D67+D68</f>
        <v>423.24099999999999</v>
      </c>
      <c r="E62" s="45">
        <f>E64+E65+E66+E67+E68</f>
        <v>523.84100000000001</v>
      </c>
      <c r="F62" s="45">
        <f>F64+F65+F66+F67+F68</f>
        <v>484.24099999999999</v>
      </c>
      <c r="G62" s="45">
        <f t="shared" ref="G62" si="6">G64+G65+G66+G67+G68</f>
        <v>228.67699999999999</v>
      </c>
      <c r="I62" s="46"/>
      <c r="J62" s="46"/>
      <c r="K62" s="46"/>
      <c r="L62" s="46"/>
    </row>
    <row r="63" spans="1:15" ht="31.5" x14ac:dyDescent="0.25">
      <c r="A63" s="43" t="s">
        <v>32</v>
      </c>
      <c r="B63" s="85"/>
      <c r="C63" s="86"/>
      <c r="D63" s="86"/>
      <c r="E63" s="86"/>
      <c r="F63" s="86"/>
      <c r="G63" s="86"/>
    </row>
    <row r="64" spans="1:15" x14ac:dyDescent="0.25">
      <c r="A64" s="87" t="s">
        <v>33</v>
      </c>
      <c r="B64" s="44">
        <v>111</v>
      </c>
      <c r="C64" s="45">
        <f>D64+E64+F64+G64</f>
        <v>1167.0359999999998</v>
      </c>
      <c r="D64" s="45">
        <f>обсяги!D12</f>
        <v>300</v>
      </c>
      <c r="E64" s="45">
        <f>обсяги!G12</f>
        <v>400.6</v>
      </c>
      <c r="F64" s="45">
        <f>обсяги!J12</f>
        <v>361</v>
      </c>
      <c r="G64" s="45">
        <f>обсяги!M12</f>
        <v>105.43600000000001</v>
      </c>
      <c r="I64" s="88"/>
    </row>
    <row r="65" spans="1:7" x14ac:dyDescent="0.25">
      <c r="A65" s="87" t="s">
        <v>34</v>
      </c>
      <c r="B65" s="44">
        <v>112</v>
      </c>
      <c r="C65" s="45">
        <f>D65+E65+F65+G65</f>
        <v>492.96399999999994</v>
      </c>
      <c r="D65" s="45">
        <f>обсяги!D9</f>
        <v>123.24099999999999</v>
      </c>
      <c r="E65" s="45">
        <f>обсяги!G9</f>
        <v>123.24099999999999</v>
      </c>
      <c r="F65" s="45">
        <f>обсяги!J9</f>
        <v>123.24099999999999</v>
      </c>
      <c r="G65" s="45">
        <f>обсяги!M9</f>
        <v>123.24099999999999</v>
      </c>
    </row>
    <row r="66" spans="1:7" ht="31.5" x14ac:dyDescent="0.25">
      <c r="A66" s="87" t="s">
        <v>35</v>
      </c>
      <c r="B66" s="44">
        <v>113</v>
      </c>
      <c r="C66" s="45">
        <f>D66+E66+F66+G66</f>
        <v>0</v>
      </c>
      <c r="D66" s="45">
        <v>0</v>
      </c>
      <c r="E66" s="45">
        <v>0</v>
      </c>
      <c r="F66" s="45">
        <v>0</v>
      </c>
      <c r="G66" s="45">
        <v>0</v>
      </c>
    </row>
    <row r="67" spans="1:7" x14ac:dyDescent="0.25">
      <c r="A67" s="87" t="s">
        <v>36</v>
      </c>
      <c r="B67" s="44">
        <v>114</v>
      </c>
      <c r="C67" s="45">
        <f t="shared" ref="C67:C68" si="7">D67+E67+F67+G67</f>
        <v>0</v>
      </c>
      <c r="D67" s="45">
        <v>0</v>
      </c>
      <c r="E67" s="45">
        <v>0</v>
      </c>
      <c r="F67" s="45">
        <v>0</v>
      </c>
      <c r="G67" s="45">
        <v>0</v>
      </c>
    </row>
    <row r="68" spans="1:7" x14ac:dyDescent="0.25">
      <c r="A68" s="87" t="s">
        <v>37</v>
      </c>
      <c r="B68" s="44">
        <v>115</v>
      </c>
      <c r="C68" s="45">
        <f t="shared" si="7"/>
        <v>0</v>
      </c>
      <c r="D68" s="45">
        <v>0</v>
      </c>
      <c r="E68" s="45">
        <v>0</v>
      </c>
      <c r="F68" s="45">
        <v>0</v>
      </c>
      <c r="G68" s="45">
        <v>0</v>
      </c>
    </row>
    <row r="69" spans="1:7" ht="31.5" x14ac:dyDescent="0.25">
      <c r="A69" s="43" t="s">
        <v>49</v>
      </c>
      <c r="B69" s="85"/>
      <c r="C69" s="86"/>
      <c r="D69" s="86"/>
      <c r="E69" s="86"/>
      <c r="F69" s="86"/>
      <c r="G69" s="86"/>
    </row>
    <row r="70" spans="1:7" x14ac:dyDescent="0.25">
      <c r="A70" s="87" t="s">
        <v>39</v>
      </c>
      <c r="B70" s="44">
        <v>121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</row>
    <row r="71" spans="1:7" x14ac:dyDescent="0.25">
      <c r="A71" s="87" t="s">
        <v>40</v>
      </c>
      <c r="B71" s="44">
        <v>122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</row>
    <row r="72" spans="1:7" x14ac:dyDescent="0.25">
      <c r="A72" s="43" t="s">
        <v>50</v>
      </c>
      <c r="B72" s="44">
        <v>130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</row>
    <row r="73" spans="1:7" x14ac:dyDescent="0.25">
      <c r="A73" s="43" t="s">
        <v>51</v>
      </c>
      <c r="B73" s="44">
        <v>140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</row>
    <row r="74" spans="1:7" x14ac:dyDescent="0.25">
      <c r="A74" s="43" t="s">
        <v>52</v>
      </c>
      <c r="B74" s="44">
        <v>150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</row>
    <row r="75" spans="1:7" x14ac:dyDescent="0.25">
      <c r="A75" s="43" t="s">
        <v>42</v>
      </c>
      <c r="B75" s="85"/>
      <c r="C75" s="86"/>
      <c r="D75" s="86"/>
      <c r="E75" s="86"/>
      <c r="F75" s="86"/>
      <c r="G75" s="86"/>
    </row>
    <row r="76" spans="1:7" ht="29.25" customHeight="1" x14ac:dyDescent="0.25">
      <c r="A76" s="87" t="s">
        <v>53</v>
      </c>
      <c r="B76" s="44">
        <v>152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</row>
    <row r="77" spans="1:7" ht="29.25" customHeight="1" x14ac:dyDescent="0.25">
      <c r="A77" s="87" t="s">
        <v>54</v>
      </c>
      <c r="B77" s="44">
        <v>154</v>
      </c>
      <c r="C77" s="45">
        <v>0</v>
      </c>
      <c r="D77" s="45">
        <v>0</v>
      </c>
      <c r="E77" s="45">
        <v>0</v>
      </c>
      <c r="F77" s="45">
        <v>0</v>
      </c>
      <c r="G77" s="45">
        <v>0</v>
      </c>
    </row>
    <row r="78" spans="1:7" x14ac:dyDescent="0.25">
      <c r="A78" s="43" t="s">
        <v>55</v>
      </c>
      <c r="B78" s="44">
        <v>160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</row>
    <row r="79" spans="1:7" x14ac:dyDescent="0.25">
      <c r="A79" s="43" t="s">
        <v>56</v>
      </c>
      <c r="B79" s="44">
        <v>170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</row>
    <row r="80" spans="1:7" x14ac:dyDescent="0.25">
      <c r="A80" s="43" t="s">
        <v>57</v>
      </c>
      <c r="B80" s="44">
        <v>180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</row>
    <row r="81" spans="1:9" ht="47.25" x14ac:dyDescent="0.25">
      <c r="A81" s="43" t="s">
        <v>58</v>
      </c>
      <c r="B81" s="85"/>
      <c r="C81" s="86"/>
      <c r="D81" s="86"/>
      <c r="E81" s="86"/>
      <c r="F81" s="86"/>
      <c r="G81" s="86"/>
    </row>
    <row r="82" spans="1:9" x14ac:dyDescent="0.25">
      <c r="A82" s="87" t="s">
        <v>39</v>
      </c>
      <c r="B82" s="44">
        <v>191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</row>
    <row r="83" spans="1:9" x14ac:dyDescent="0.25">
      <c r="A83" s="87" t="s">
        <v>40</v>
      </c>
      <c r="B83" s="44">
        <v>192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</row>
    <row r="84" spans="1:9" x14ac:dyDescent="0.25">
      <c r="A84" s="43" t="s">
        <v>59</v>
      </c>
      <c r="B84" s="44">
        <v>200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</row>
    <row r="85" spans="1:9" x14ac:dyDescent="0.25">
      <c r="A85" s="43" t="s">
        <v>60</v>
      </c>
      <c r="B85" s="85"/>
      <c r="C85" s="86"/>
      <c r="D85" s="86"/>
      <c r="E85" s="86"/>
      <c r="F85" s="86"/>
      <c r="G85" s="86"/>
    </row>
    <row r="86" spans="1:9" x14ac:dyDescent="0.25">
      <c r="A86" s="87" t="s">
        <v>39</v>
      </c>
      <c r="B86" s="44">
        <v>211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</row>
    <row r="87" spans="1:9" x14ac:dyDescent="0.25">
      <c r="A87" s="87" t="s">
        <v>40</v>
      </c>
      <c r="B87" s="44">
        <v>212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</row>
    <row r="88" spans="1:9" ht="30" customHeight="1" x14ac:dyDescent="0.25">
      <c r="A88" s="43" t="s">
        <v>61</v>
      </c>
      <c r="B88" s="44">
        <v>220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</row>
    <row r="89" spans="1:9" ht="20.25" customHeight="1" x14ac:dyDescent="0.25">
      <c r="A89" s="115" t="s">
        <v>62</v>
      </c>
      <c r="B89" s="115"/>
      <c r="C89" s="115"/>
      <c r="D89" s="115"/>
      <c r="E89" s="115"/>
      <c r="F89" s="115"/>
      <c r="G89" s="115"/>
    </row>
    <row r="90" spans="1:9" x14ac:dyDescent="0.25">
      <c r="A90" s="43" t="s">
        <v>63</v>
      </c>
      <c r="B90" s="47">
        <v>310</v>
      </c>
      <c r="C90" s="45">
        <f>SUM(D90:G90)</f>
        <v>15195.249</v>
      </c>
      <c r="D90" s="45">
        <f>D33+D50+D64</f>
        <v>4873.4750000000004</v>
      </c>
      <c r="E90" s="45">
        <f>E33+E50+E64</f>
        <v>3501.4730000000004</v>
      </c>
      <c r="F90" s="45">
        <f>F33+F50+F64</f>
        <v>3175.7780000000002</v>
      </c>
      <c r="G90" s="45">
        <f>G33+G50+G64</f>
        <v>3644.5230000000001</v>
      </c>
    </row>
    <row r="91" spans="1:9" x14ac:dyDescent="0.25">
      <c r="A91" s="43" t="s">
        <v>64</v>
      </c>
      <c r="B91" s="47">
        <v>320</v>
      </c>
      <c r="C91" s="45">
        <f>SUM(D91:G91)</f>
        <v>52940.001723720001</v>
      </c>
      <c r="D91" s="45">
        <f>D34+D51+D65</f>
        <v>13332.700100000002</v>
      </c>
      <c r="E91" s="45">
        <f>E34+E51+E65</f>
        <v>13171.37237241</v>
      </c>
      <c r="F91" s="45">
        <f t="shared" ref="E91:G93" si="8">F34+F51+F65</f>
        <v>12998.764751310002</v>
      </c>
      <c r="G91" s="45">
        <f t="shared" si="8"/>
        <v>13437.164500000001</v>
      </c>
    </row>
    <row r="92" spans="1:9" x14ac:dyDescent="0.25">
      <c r="A92" s="43" t="s">
        <v>65</v>
      </c>
      <c r="B92" s="47">
        <v>330</v>
      </c>
      <c r="C92" s="45">
        <f t="shared" ref="C92" si="9">SUM(D92:G92)</f>
        <v>0</v>
      </c>
      <c r="D92" s="45">
        <f>D35+D52+D66</f>
        <v>0</v>
      </c>
      <c r="E92" s="45">
        <f t="shared" ref="E92:G92" si="10">E35+E52+E66</f>
        <v>0</v>
      </c>
      <c r="F92" s="45">
        <f t="shared" si="10"/>
        <v>0</v>
      </c>
      <c r="G92" s="45">
        <f t="shared" si="10"/>
        <v>0</v>
      </c>
    </row>
    <row r="93" spans="1:9" x14ac:dyDescent="0.25">
      <c r="A93" s="43" t="s">
        <v>66</v>
      </c>
      <c r="B93" s="47">
        <v>340</v>
      </c>
      <c r="C93" s="45">
        <f>SUM(D93:G93)</f>
        <v>0</v>
      </c>
      <c r="D93" s="45">
        <f>D36+D53+D67</f>
        <v>0</v>
      </c>
      <c r="E93" s="45">
        <f t="shared" si="8"/>
        <v>0</v>
      </c>
      <c r="F93" s="45">
        <f>F36+F53+F67</f>
        <v>0</v>
      </c>
      <c r="G93" s="45">
        <f>G36+G53+G67</f>
        <v>0</v>
      </c>
    </row>
    <row r="94" spans="1:9" x14ac:dyDescent="0.25">
      <c r="A94" s="43" t="s">
        <v>48</v>
      </c>
      <c r="B94" s="47">
        <v>350</v>
      </c>
      <c r="C94" s="45">
        <f>SUM(D94:G94)+0.001</f>
        <v>275.64300000000003</v>
      </c>
      <c r="D94" s="45">
        <f>D54+D68+D37</f>
        <v>67.999750000000006</v>
      </c>
      <c r="E94" s="45">
        <f t="shared" ref="E94:G94" si="11">E54+E68+E37</f>
        <v>67.999750000000006</v>
      </c>
      <c r="F94" s="45">
        <f t="shared" si="11"/>
        <v>69.999750000000006</v>
      </c>
      <c r="G94" s="45">
        <f t="shared" si="11"/>
        <v>69.642750000000007</v>
      </c>
    </row>
    <row r="95" spans="1:9" x14ac:dyDescent="0.25">
      <c r="A95" s="43" t="s">
        <v>67</v>
      </c>
      <c r="B95" s="47">
        <v>360</v>
      </c>
      <c r="C95" s="45">
        <f>SUM(C90:C94)</f>
        <v>68410.893723720001</v>
      </c>
      <c r="D95" s="45">
        <f>SUM(D90:D94)</f>
        <v>18274.174849999999</v>
      </c>
      <c r="E95" s="45">
        <f>SUM(E90:E94)</f>
        <v>16740.845122409999</v>
      </c>
      <c r="F95" s="45">
        <f>SUM(F90:F94)</f>
        <v>16244.542501310003</v>
      </c>
      <c r="G95" s="45">
        <f>SUM(G90:G94)+0.001</f>
        <v>17151.331249999999</v>
      </c>
      <c r="I95" s="46"/>
    </row>
    <row r="96" spans="1:9" ht="24" customHeight="1" x14ac:dyDescent="0.25">
      <c r="A96" s="115" t="s">
        <v>68</v>
      </c>
      <c r="B96" s="115"/>
      <c r="C96" s="115"/>
      <c r="D96" s="115"/>
      <c r="E96" s="115"/>
      <c r="F96" s="115"/>
      <c r="G96" s="115"/>
    </row>
    <row r="97" spans="1:7" x14ac:dyDescent="0.25">
      <c r="A97" s="43" t="s">
        <v>69</v>
      </c>
      <c r="B97" s="47">
        <v>410</v>
      </c>
      <c r="C97" s="48">
        <f>SUM(D97:G97)</f>
        <v>0</v>
      </c>
      <c r="D97" s="48">
        <v>0</v>
      </c>
      <c r="E97" s="48">
        <v>0</v>
      </c>
      <c r="F97" s="48">
        <v>0</v>
      </c>
      <c r="G97" s="48">
        <f>G98</f>
        <v>0</v>
      </c>
    </row>
    <row r="98" spans="1:7" ht="31.5" x14ac:dyDescent="0.25">
      <c r="A98" s="87" t="s">
        <v>70</v>
      </c>
      <c r="B98" s="47">
        <v>411</v>
      </c>
      <c r="C98" s="48">
        <f t="shared" ref="C98:C105" si="12">SUM(D98:G98)</f>
        <v>0</v>
      </c>
      <c r="D98" s="48">
        <v>0</v>
      </c>
      <c r="E98" s="48">
        <v>0</v>
      </c>
      <c r="F98" s="48">
        <v>0</v>
      </c>
      <c r="G98" s="48">
        <v>0</v>
      </c>
    </row>
    <row r="99" spans="1:7" ht="48.75" customHeight="1" x14ac:dyDescent="0.25">
      <c r="A99" s="43" t="s">
        <v>71</v>
      </c>
      <c r="B99" s="47">
        <v>420</v>
      </c>
      <c r="C99" s="48">
        <v>800</v>
      </c>
      <c r="D99" s="48">
        <v>800</v>
      </c>
      <c r="E99" s="48">
        <v>0</v>
      </c>
      <c r="F99" s="48">
        <f>F100</f>
        <v>0</v>
      </c>
      <c r="G99" s="48">
        <v>0</v>
      </c>
    </row>
    <row r="100" spans="1:7" ht="31.5" x14ac:dyDescent="0.25">
      <c r="A100" s="87" t="s">
        <v>70</v>
      </c>
      <c r="B100" s="47">
        <v>421</v>
      </c>
      <c r="C100" s="48">
        <f t="shared" si="12"/>
        <v>0</v>
      </c>
      <c r="D100" s="48">
        <v>0</v>
      </c>
      <c r="E100" s="48">
        <v>0</v>
      </c>
      <c r="F100" s="48">
        <v>0</v>
      </c>
      <c r="G100" s="48">
        <v>0</v>
      </c>
    </row>
    <row r="101" spans="1:7" ht="31.5" x14ac:dyDescent="0.25">
      <c r="A101" s="43" t="s">
        <v>72</v>
      </c>
      <c r="B101" s="47">
        <v>430</v>
      </c>
      <c r="C101" s="48">
        <f t="shared" si="12"/>
        <v>0</v>
      </c>
      <c r="D101" s="48">
        <v>0</v>
      </c>
      <c r="E101" s="48">
        <v>0</v>
      </c>
      <c r="F101" s="48">
        <v>0</v>
      </c>
      <c r="G101" s="48">
        <v>0</v>
      </c>
    </row>
    <row r="102" spans="1:7" ht="31.5" x14ac:dyDescent="0.25">
      <c r="A102" s="87" t="s">
        <v>70</v>
      </c>
      <c r="B102" s="47">
        <v>431</v>
      </c>
      <c r="C102" s="48">
        <f t="shared" si="12"/>
        <v>0</v>
      </c>
      <c r="D102" s="48">
        <v>0</v>
      </c>
      <c r="E102" s="48">
        <v>0</v>
      </c>
      <c r="F102" s="48">
        <v>0</v>
      </c>
      <c r="G102" s="48">
        <v>0</v>
      </c>
    </row>
    <row r="103" spans="1:7" ht="31.5" x14ac:dyDescent="0.25">
      <c r="A103" s="43" t="s">
        <v>73</v>
      </c>
      <c r="B103" s="47">
        <v>440</v>
      </c>
      <c r="C103" s="48">
        <f t="shared" si="12"/>
        <v>0</v>
      </c>
      <c r="D103" s="48">
        <v>0</v>
      </c>
      <c r="E103" s="48">
        <v>0</v>
      </c>
      <c r="F103" s="48">
        <v>0</v>
      </c>
      <c r="G103" s="48">
        <v>0</v>
      </c>
    </row>
    <row r="104" spans="1:7" ht="31.5" x14ac:dyDescent="0.25">
      <c r="A104" s="87" t="s">
        <v>70</v>
      </c>
      <c r="B104" s="47">
        <v>441</v>
      </c>
      <c r="C104" s="48">
        <f t="shared" si="12"/>
        <v>0</v>
      </c>
      <c r="D104" s="48">
        <v>0</v>
      </c>
      <c r="E104" s="48">
        <v>0</v>
      </c>
      <c r="F104" s="48">
        <v>0</v>
      </c>
      <c r="G104" s="48">
        <v>0</v>
      </c>
    </row>
    <row r="105" spans="1:7" ht="63" x14ac:dyDescent="0.25">
      <c r="A105" s="43" t="s">
        <v>74</v>
      </c>
      <c r="B105" s="47">
        <v>450</v>
      </c>
      <c r="C105" s="48">
        <f t="shared" si="12"/>
        <v>0</v>
      </c>
      <c r="D105" s="48">
        <v>0</v>
      </c>
      <c r="E105" s="48">
        <v>0</v>
      </c>
      <c r="F105" s="48">
        <v>0</v>
      </c>
      <c r="G105" s="48">
        <v>0</v>
      </c>
    </row>
    <row r="106" spans="1:7" ht="31.5" x14ac:dyDescent="0.25">
      <c r="A106" s="87" t="s">
        <v>70</v>
      </c>
      <c r="B106" s="47">
        <v>451</v>
      </c>
      <c r="C106" s="48">
        <f>SUM(D106:G106)</f>
        <v>0</v>
      </c>
      <c r="D106" s="48">
        <v>0</v>
      </c>
      <c r="E106" s="48">
        <v>0</v>
      </c>
      <c r="F106" s="48">
        <v>0</v>
      </c>
      <c r="G106" s="48">
        <v>0</v>
      </c>
    </row>
    <row r="107" spans="1:7" ht="31.5" x14ac:dyDescent="0.25">
      <c r="A107" s="94" t="s">
        <v>75</v>
      </c>
      <c r="B107" s="42">
        <v>490</v>
      </c>
      <c r="C107" s="95">
        <f>C97+C99+C101+C103+C105</f>
        <v>800</v>
      </c>
      <c r="D107" s="96">
        <f>D97+D99+D101+D103+D105</f>
        <v>800</v>
      </c>
      <c r="E107" s="96">
        <f t="shared" ref="E107:G107" si="13">E97+E99+E101+E103+E105</f>
        <v>0</v>
      </c>
      <c r="F107" s="96">
        <f>F97+F99+F101+F103+F105</f>
        <v>0</v>
      </c>
      <c r="G107" s="96">
        <f t="shared" si="13"/>
        <v>0</v>
      </c>
    </row>
    <row r="108" spans="1:7" ht="47.25" x14ac:dyDescent="0.25">
      <c r="A108" s="87" t="s">
        <v>76</v>
      </c>
      <c r="B108" s="47">
        <v>491</v>
      </c>
      <c r="C108" s="45">
        <f>C98+C100+C102+C104+C106</f>
        <v>0</v>
      </c>
      <c r="D108" s="48">
        <f>D98+D100+D102+D104+D106</f>
        <v>0</v>
      </c>
      <c r="E108" s="48">
        <f t="shared" ref="E108:G108" si="14">E98+E100+E102+E104+E106</f>
        <v>0</v>
      </c>
      <c r="F108" s="48">
        <f t="shared" si="14"/>
        <v>0</v>
      </c>
      <c r="G108" s="48">
        <f t="shared" si="14"/>
        <v>0</v>
      </c>
    </row>
    <row r="109" spans="1:7" x14ac:dyDescent="0.25">
      <c r="A109" s="42" t="s">
        <v>77</v>
      </c>
      <c r="B109" s="43"/>
      <c r="C109" s="47"/>
      <c r="D109" s="47"/>
      <c r="E109" s="47"/>
      <c r="F109" s="47"/>
      <c r="G109" s="47"/>
    </row>
    <row r="110" spans="1:7" ht="31.5" x14ac:dyDescent="0.25">
      <c r="A110" s="43" t="s">
        <v>149</v>
      </c>
      <c r="B110" s="47">
        <v>510</v>
      </c>
      <c r="C110" s="97">
        <v>260</v>
      </c>
      <c r="D110" s="97">
        <v>260</v>
      </c>
      <c r="E110" s="97">
        <v>260</v>
      </c>
      <c r="F110" s="97">
        <v>260</v>
      </c>
      <c r="G110" s="97">
        <v>260</v>
      </c>
    </row>
    <row r="111" spans="1:7" ht="31.5" x14ac:dyDescent="0.25">
      <c r="A111" s="43" t="s">
        <v>78</v>
      </c>
      <c r="B111" s="47">
        <v>520</v>
      </c>
      <c r="C111" s="45">
        <v>124644.412</v>
      </c>
      <c r="D111" s="45">
        <v>124644.412</v>
      </c>
      <c r="E111" s="45">
        <v>124644.412</v>
      </c>
      <c r="F111" s="45">
        <v>124644.412</v>
      </c>
      <c r="G111" s="45">
        <v>124644.412</v>
      </c>
    </row>
    <row r="112" spans="1:7" x14ac:dyDescent="0.25">
      <c r="A112" s="43" t="s">
        <v>79</v>
      </c>
      <c r="B112" s="47">
        <v>530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</row>
    <row r="113" spans="1:7" ht="45.75" customHeight="1" x14ac:dyDescent="0.25">
      <c r="A113" s="43" t="s">
        <v>80</v>
      </c>
      <c r="B113" s="47">
        <v>540</v>
      </c>
      <c r="C113" s="48">
        <v>0</v>
      </c>
      <c r="D113" s="48">
        <v>0</v>
      </c>
      <c r="E113" s="48">
        <v>0</v>
      </c>
      <c r="F113" s="48">
        <v>0</v>
      </c>
      <c r="G113" s="48">
        <v>0</v>
      </c>
    </row>
    <row r="114" spans="1:7" hidden="1" x14ac:dyDescent="0.25"/>
    <row r="115" spans="1:7" hidden="1" x14ac:dyDescent="0.25"/>
    <row r="116" spans="1:7" hidden="1" x14ac:dyDescent="0.25"/>
    <row r="117" spans="1:7" s="49" customFormat="1" ht="18.75" hidden="1" x14ac:dyDescent="0.3">
      <c r="A117" s="49" t="s">
        <v>115</v>
      </c>
      <c r="E117" s="49" t="s">
        <v>116</v>
      </c>
    </row>
    <row r="122" spans="1:7" ht="38.25" customHeight="1" x14ac:dyDescent="0.25">
      <c r="A122" s="50" t="s">
        <v>160</v>
      </c>
      <c r="E122" s="39" t="s">
        <v>159</v>
      </c>
    </row>
  </sheetData>
  <mergeCells count="27">
    <mergeCell ref="A89:G89"/>
    <mergeCell ref="A96:G96"/>
    <mergeCell ref="A3:G3"/>
    <mergeCell ref="F7:G7"/>
    <mergeCell ref="F8:G8"/>
    <mergeCell ref="F9:G9"/>
    <mergeCell ref="D7:E7"/>
    <mergeCell ref="A21:G21"/>
    <mergeCell ref="A18:A19"/>
    <mergeCell ref="B18:B19"/>
    <mergeCell ref="C18:C19"/>
    <mergeCell ref="D18:G18"/>
    <mergeCell ref="D8:E8"/>
    <mergeCell ref="B12:G12"/>
    <mergeCell ref="A5:A6"/>
    <mergeCell ref="B10:G10"/>
    <mergeCell ref="B11:G11"/>
    <mergeCell ref="B9:C9"/>
    <mergeCell ref="D9:E9"/>
    <mergeCell ref="E1:G1"/>
    <mergeCell ref="E2:G2"/>
    <mergeCell ref="D5:G5"/>
    <mergeCell ref="B7:C7"/>
    <mergeCell ref="B8:C8"/>
    <mergeCell ref="D6:E6"/>
    <mergeCell ref="F6:G6"/>
    <mergeCell ref="B5:C6"/>
  </mergeCells>
  <phoneticPr fontId="2" type="noConversion"/>
  <pageMargins left="1.1811023622047245" right="0.59055118110236227" top="0.78740157480314965" bottom="0.78740157480314965" header="0.31496062992125984" footer="0.31496062992125984"/>
  <pageSetup paperSize="9" scale="70" orientation="portrait" r:id="rId1"/>
  <rowBreaks count="1" manualBreakCount="1">
    <brk id="88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910CC-8B73-47C0-9797-04730290B36E}">
  <dimension ref="A1:W31"/>
  <sheetViews>
    <sheetView view="pageBreakPreview" zoomScale="90" zoomScaleNormal="90" zoomScaleSheetLayoutView="90" workbookViewId="0">
      <selection activeCell="P16" sqref="P16"/>
    </sheetView>
  </sheetViews>
  <sheetFormatPr defaultRowHeight="15" x14ac:dyDescent="0.25"/>
  <cols>
    <col min="1" max="1" width="27.140625" style="1" bestFit="1" customWidth="1"/>
    <col min="2" max="2" width="12.140625" style="2" customWidth="1"/>
    <col min="3" max="3" width="14.85546875" style="2" customWidth="1"/>
    <col min="4" max="4" width="9.7109375" style="2" customWidth="1"/>
    <col min="5" max="6" width="12.42578125" style="2" customWidth="1"/>
    <col min="7" max="7" width="11.28515625" style="2" customWidth="1"/>
    <col min="8" max="8" width="14.42578125" style="2" customWidth="1"/>
    <col min="9" max="9" width="11.28515625" style="2" customWidth="1"/>
    <col min="10" max="10" width="9.7109375" style="2" customWidth="1"/>
    <col min="11" max="11" width="11.5703125" style="2" customWidth="1"/>
    <col min="12" max="12" width="11.7109375" style="2" customWidth="1"/>
    <col min="13" max="13" width="10.28515625" style="2" customWidth="1"/>
    <col min="14" max="14" width="15.28515625" style="17" customWidth="1"/>
    <col min="15" max="15" width="12.5703125" style="3" customWidth="1"/>
    <col min="16" max="16" width="14.85546875" style="3" customWidth="1"/>
    <col min="17" max="17" width="13.140625" style="3" customWidth="1"/>
    <col min="18" max="18" width="12.5703125" style="3" bestFit="1" customWidth="1"/>
    <col min="19" max="19" width="15.5703125" style="3" bestFit="1" customWidth="1"/>
    <col min="20" max="20" width="16.140625" style="3" bestFit="1" customWidth="1"/>
    <col min="21" max="22" width="10" style="3" bestFit="1" customWidth="1"/>
    <col min="23" max="214" width="9.140625" style="3"/>
    <col min="215" max="215" width="27.140625" style="3" bestFit="1" customWidth="1"/>
    <col min="216" max="216" width="12" style="3" customWidth="1"/>
    <col min="217" max="217" width="11" style="3" customWidth="1"/>
    <col min="218" max="218" width="8" style="3" customWidth="1"/>
    <col min="219" max="219" width="8.5703125" style="3" customWidth="1"/>
    <col min="220" max="220" width="10.28515625" style="3" customWidth="1"/>
    <col min="221" max="221" width="9.28515625" style="3" customWidth="1"/>
    <col min="222" max="222" width="9" style="3" customWidth="1"/>
    <col min="223" max="223" width="9.7109375" style="3" customWidth="1"/>
    <col min="224" max="224" width="10.5703125" style="3" customWidth="1"/>
    <col min="225" max="225" width="9.42578125" style="3" customWidth="1"/>
    <col min="226" max="226" width="9.5703125" style="3" customWidth="1"/>
    <col min="227" max="227" width="11.5703125" style="3" customWidth="1"/>
    <col min="228" max="228" width="10.28515625" style="3" customWidth="1"/>
    <col min="229" max="229" width="9.5703125" style="3" customWidth="1"/>
    <col min="230" max="230" width="11.7109375" style="3" customWidth="1"/>
    <col min="231" max="231" width="10.85546875" style="3" customWidth="1"/>
    <col min="232" max="232" width="15.28515625" style="3" customWidth="1"/>
    <col min="233" max="233" width="10" style="3" customWidth="1"/>
    <col min="234" max="470" width="9.140625" style="3"/>
    <col min="471" max="471" width="27.140625" style="3" bestFit="1" customWidth="1"/>
    <col min="472" max="472" width="12" style="3" customWidth="1"/>
    <col min="473" max="473" width="11" style="3" customWidth="1"/>
    <col min="474" max="474" width="8" style="3" customWidth="1"/>
    <col min="475" max="475" width="8.5703125" style="3" customWidth="1"/>
    <col min="476" max="476" width="10.28515625" style="3" customWidth="1"/>
    <col min="477" max="477" width="9.28515625" style="3" customWidth="1"/>
    <col min="478" max="478" width="9" style="3" customWidth="1"/>
    <col min="479" max="479" width="9.7109375" style="3" customWidth="1"/>
    <col min="480" max="480" width="10.5703125" style="3" customWidth="1"/>
    <col min="481" max="481" width="9.42578125" style="3" customWidth="1"/>
    <col min="482" max="482" width="9.5703125" style="3" customWidth="1"/>
    <col min="483" max="483" width="11.5703125" style="3" customWidth="1"/>
    <col min="484" max="484" width="10.28515625" style="3" customWidth="1"/>
    <col min="485" max="485" width="9.5703125" style="3" customWidth="1"/>
    <col min="486" max="486" width="11.7109375" style="3" customWidth="1"/>
    <col min="487" max="487" width="10.85546875" style="3" customWidth="1"/>
    <col min="488" max="488" width="15.28515625" style="3" customWidth="1"/>
    <col min="489" max="489" width="10" style="3" customWidth="1"/>
    <col min="490" max="726" width="9.140625" style="3"/>
    <col min="727" max="727" width="27.140625" style="3" bestFit="1" customWidth="1"/>
    <col min="728" max="728" width="12" style="3" customWidth="1"/>
    <col min="729" max="729" width="11" style="3" customWidth="1"/>
    <col min="730" max="730" width="8" style="3" customWidth="1"/>
    <col min="731" max="731" width="8.5703125" style="3" customWidth="1"/>
    <col min="732" max="732" width="10.28515625" style="3" customWidth="1"/>
    <col min="733" max="733" width="9.28515625" style="3" customWidth="1"/>
    <col min="734" max="734" width="9" style="3" customWidth="1"/>
    <col min="735" max="735" width="9.7109375" style="3" customWidth="1"/>
    <col min="736" max="736" width="10.5703125" style="3" customWidth="1"/>
    <col min="737" max="737" width="9.42578125" style="3" customWidth="1"/>
    <col min="738" max="738" width="9.5703125" style="3" customWidth="1"/>
    <col min="739" max="739" width="11.5703125" style="3" customWidth="1"/>
    <col min="740" max="740" width="10.28515625" style="3" customWidth="1"/>
    <col min="741" max="741" width="9.5703125" style="3" customWidth="1"/>
    <col min="742" max="742" width="11.7109375" style="3" customWidth="1"/>
    <col min="743" max="743" width="10.85546875" style="3" customWidth="1"/>
    <col min="744" max="744" width="15.28515625" style="3" customWidth="1"/>
    <col min="745" max="745" width="10" style="3" customWidth="1"/>
    <col min="746" max="982" width="9.140625" style="3"/>
    <col min="983" max="983" width="27.140625" style="3" bestFit="1" customWidth="1"/>
    <col min="984" max="984" width="12" style="3" customWidth="1"/>
    <col min="985" max="985" width="11" style="3" customWidth="1"/>
    <col min="986" max="986" width="8" style="3" customWidth="1"/>
    <col min="987" max="987" width="8.5703125" style="3" customWidth="1"/>
    <col min="988" max="988" width="10.28515625" style="3" customWidth="1"/>
    <col min="989" max="989" width="9.28515625" style="3" customWidth="1"/>
    <col min="990" max="990" width="9" style="3" customWidth="1"/>
    <col min="991" max="991" width="9.7109375" style="3" customWidth="1"/>
    <col min="992" max="992" width="10.5703125" style="3" customWidth="1"/>
    <col min="993" max="993" width="9.42578125" style="3" customWidth="1"/>
    <col min="994" max="994" width="9.5703125" style="3" customWidth="1"/>
    <col min="995" max="995" width="11.5703125" style="3" customWidth="1"/>
    <col min="996" max="996" width="10.28515625" style="3" customWidth="1"/>
    <col min="997" max="997" width="9.5703125" style="3" customWidth="1"/>
    <col min="998" max="998" width="11.7109375" style="3" customWidth="1"/>
    <col min="999" max="999" width="10.85546875" style="3" customWidth="1"/>
    <col min="1000" max="1000" width="15.28515625" style="3" customWidth="1"/>
    <col min="1001" max="1001" width="10" style="3" customWidth="1"/>
    <col min="1002" max="1238" width="9.140625" style="3"/>
    <col min="1239" max="1239" width="27.140625" style="3" bestFit="1" customWidth="1"/>
    <col min="1240" max="1240" width="12" style="3" customWidth="1"/>
    <col min="1241" max="1241" width="11" style="3" customWidth="1"/>
    <col min="1242" max="1242" width="8" style="3" customWidth="1"/>
    <col min="1243" max="1243" width="8.5703125" style="3" customWidth="1"/>
    <col min="1244" max="1244" width="10.28515625" style="3" customWidth="1"/>
    <col min="1245" max="1245" width="9.28515625" style="3" customWidth="1"/>
    <col min="1246" max="1246" width="9" style="3" customWidth="1"/>
    <col min="1247" max="1247" width="9.7109375" style="3" customWidth="1"/>
    <col min="1248" max="1248" width="10.5703125" style="3" customWidth="1"/>
    <col min="1249" max="1249" width="9.42578125" style="3" customWidth="1"/>
    <col min="1250" max="1250" width="9.5703125" style="3" customWidth="1"/>
    <col min="1251" max="1251" width="11.5703125" style="3" customWidth="1"/>
    <col min="1252" max="1252" width="10.28515625" style="3" customWidth="1"/>
    <col min="1253" max="1253" width="9.5703125" style="3" customWidth="1"/>
    <col min="1254" max="1254" width="11.7109375" style="3" customWidth="1"/>
    <col min="1255" max="1255" width="10.85546875" style="3" customWidth="1"/>
    <col min="1256" max="1256" width="15.28515625" style="3" customWidth="1"/>
    <col min="1257" max="1257" width="10" style="3" customWidth="1"/>
    <col min="1258" max="1494" width="9.140625" style="3"/>
    <col min="1495" max="1495" width="27.140625" style="3" bestFit="1" customWidth="1"/>
    <col min="1496" max="1496" width="12" style="3" customWidth="1"/>
    <col min="1497" max="1497" width="11" style="3" customWidth="1"/>
    <col min="1498" max="1498" width="8" style="3" customWidth="1"/>
    <col min="1499" max="1499" width="8.5703125" style="3" customWidth="1"/>
    <col min="1500" max="1500" width="10.28515625" style="3" customWidth="1"/>
    <col min="1501" max="1501" width="9.28515625" style="3" customWidth="1"/>
    <col min="1502" max="1502" width="9" style="3" customWidth="1"/>
    <col min="1503" max="1503" width="9.7109375" style="3" customWidth="1"/>
    <col min="1504" max="1504" width="10.5703125" style="3" customWidth="1"/>
    <col min="1505" max="1505" width="9.42578125" style="3" customWidth="1"/>
    <col min="1506" max="1506" width="9.5703125" style="3" customWidth="1"/>
    <col min="1507" max="1507" width="11.5703125" style="3" customWidth="1"/>
    <col min="1508" max="1508" width="10.28515625" style="3" customWidth="1"/>
    <col min="1509" max="1509" width="9.5703125" style="3" customWidth="1"/>
    <col min="1510" max="1510" width="11.7109375" style="3" customWidth="1"/>
    <col min="1511" max="1511" width="10.85546875" style="3" customWidth="1"/>
    <col min="1512" max="1512" width="15.28515625" style="3" customWidth="1"/>
    <col min="1513" max="1513" width="10" style="3" customWidth="1"/>
    <col min="1514" max="1750" width="9.140625" style="3"/>
    <col min="1751" max="1751" width="27.140625" style="3" bestFit="1" customWidth="1"/>
    <col min="1752" max="1752" width="12" style="3" customWidth="1"/>
    <col min="1753" max="1753" width="11" style="3" customWidth="1"/>
    <col min="1754" max="1754" width="8" style="3" customWidth="1"/>
    <col min="1755" max="1755" width="8.5703125" style="3" customWidth="1"/>
    <col min="1756" max="1756" width="10.28515625" style="3" customWidth="1"/>
    <col min="1757" max="1757" width="9.28515625" style="3" customWidth="1"/>
    <col min="1758" max="1758" width="9" style="3" customWidth="1"/>
    <col min="1759" max="1759" width="9.7109375" style="3" customWidth="1"/>
    <col min="1760" max="1760" width="10.5703125" style="3" customWidth="1"/>
    <col min="1761" max="1761" width="9.42578125" style="3" customWidth="1"/>
    <col min="1762" max="1762" width="9.5703125" style="3" customWidth="1"/>
    <col min="1763" max="1763" width="11.5703125" style="3" customWidth="1"/>
    <col min="1764" max="1764" width="10.28515625" style="3" customWidth="1"/>
    <col min="1765" max="1765" width="9.5703125" style="3" customWidth="1"/>
    <col min="1766" max="1766" width="11.7109375" style="3" customWidth="1"/>
    <col min="1767" max="1767" width="10.85546875" style="3" customWidth="1"/>
    <col min="1768" max="1768" width="15.28515625" style="3" customWidth="1"/>
    <col min="1769" max="1769" width="10" style="3" customWidth="1"/>
    <col min="1770" max="2006" width="9.140625" style="3"/>
    <col min="2007" max="2007" width="27.140625" style="3" bestFit="1" customWidth="1"/>
    <col min="2008" max="2008" width="12" style="3" customWidth="1"/>
    <col min="2009" max="2009" width="11" style="3" customWidth="1"/>
    <col min="2010" max="2010" width="8" style="3" customWidth="1"/>
    <col min="2011" max="2011" width="8.5703125" style="3" customWidth="1"/>
    <col min="2012" max="2012" width="10.28515625" style="3" customWidth="1"/>
    <col min="2013" max="2013" width="9.28515625" style="3" customWidth="1"/>
    <col min="2014" max="2014" width="9" style="3" customWidth="1"/>
    <col min="2015" max="2015" width="9.7109375" style="3" customWidth="1"/>
    <col min="2016" max="2016" width="10.5703125" style="3" customWidth="1"/>
    <col min="2017" max="2017" width="9.42578125" style="3" customWidth="1"/>
    <col min="2018" max="2018" width="9.5703125" style="3" customWidth="1"/>
    <col min="2019" max="2019" width="11.5703125" style="3" customWidth="1"/>
    <col min="2020" max="2020" width="10.28515625" style="3" customWidth="1"/>
    <col min="2021" max="2021" width="9.5703125" style="3" customWidth="1"/>
    <col min="2022" max="2022" width="11.7109375" style="3" customWidth="1"/>
    <col min="2023" max="2023" width="10.85546875" style="3" customWidth="1"/>
    <col min="2024" max="2024" width="15.28515625" style="3" customWidth="1"/>
    <col min="2025" max="2025" width="10" style="3" customWidth="1"/>
    <col min="2026" max="2262" width="9.140625" style="3"/>
    <col min="2263" max="2263" width="27.140625" style="3" bestFit="1" customWidth="1"/>
    <col min="2264" max="2264" width="12" style="3" customWidth="1"/>
    <col min="2265" max="2265" width="11" style="3" customWidth="1"/>
    <col min="2266" max="2266" width="8" style="3" customWidth="1"/>
    <col min="2267" max="2267" width="8.5703125" style="3" customWidth="1"/>
    <col min="2268" max="2268" width="10.28515625" style="3" customWidth="1"/>
    <col min="2269" max="2269" width="9.28515625" style="3" customWidth="1"/>
    <col min="2270" max="2270" width="9" style="3" customWidth="1"/>
    <col min="2271" max="2271" width="9.7109375" style="3" customWidth="1"/>
    <col min="2272" max="2272" width="10.5703125" style="3" customWidth="1"/>
    <col min="2273" max="2273" width="9.42578125" style="3" customWidth="1"/>
    <col min="2274" max="2274" width="9.5703125" style="3" customWidth="1"/>
    <col min="2275" max="2275" width="11.5703125" style="3" customWidth="1"/>
    <col min="2276" max="2276" width="10.28515625" style="3" customWidth="1"/>
    <col min="2277" max="2277" width="9.5703125" style="3" customWidth="1"/>
    <col min="2278" max="2278" width="11.7109375" style="3" customWidth="1"/>
    <col min="2279" max="2279" width="10.85546875" style="3" customWidth="1"/>
    <col min="2280" max="2280" width="15.28515625" style="3" customWidth="1"/>
    <col min="2281" max="2281" width="10" style="3" customWidth="1"/>
    <col min="2282" max="2518" width="9.140625" style="3"/>
    <col min="2519" max="2519" width="27.140625" style="3" bestFit="1" customWidth="1"/>
    <col min="2520" max="2520" width="12" style="3" customWidth="1"/>
    <col min="2521" max="2521" width="11" style="3" customWidth="1"/>
    <col min="2522" max="2522" width="8" style="3" customWidth="1"/>
    <col min="2523" max="2523" width="8.5703125" style="3" customWidth="1"/>
    <col min="2524" max="2524" width="10.28515625" style="3" customWidth="1"/>
    <col min="2525" max="2525" width="9.28515625" style="3" customWidth="1"/>
    <col min="2526" max="2526" width="9" style="3" customWidth="1"/>
    <col min="2527" max="2527" width="9.7109375" style="3" customWidth="1"/>
    <col min="2528" max="2528" width="10.5703125" style="3" customWidth="1"/>
    <col min="2529" max="2529" width="9.42578125" style="3" customWidth="1"/>
    <col min="2530" max="2530" width="9.5703125" style="3" customWidth="1"/>
    <col min="2531" max="2531" width="11.5703125" style="3" customWidth="1"/>
    <col min="2532" max="2532" width="10.28515625" style="3" customWidth="1"/>
    <col min="2533" max="2533" width="9.5703125" style="3" customWidth="1"/>
    <col min="2534" max="2534" width="11.7109375" style="3" customWidth="1"/>
    <col min="2535" max="2535" width="10.85546875" style="3" customWidth="1"/>
    <col min="2536" max="2536" width="15.28515625" style="3" customWidth="1"/>
    <col min="2537" max="2537" width="10" style="3" customWidth="1"/>
    <col min="2538" max="2774" width="9.140625" style="3"/>
    <col min="2775" max="2775" width="27.140625" style="3" bestFit="1" customWidth="1"/>
    <col min="2776" max="2776" width="12" style="3" customWidth="1"/>
    <col min="2777" max="2777" width="11" style="3" customWidth="1"/>
    <col min="2778" max="2778" width="8" style="3" customWidth="1"/>
    <col min="2779" max="2779" width="8.5703125" style="3" customWidth="1"/>
    <col min="2780" max="2780" width="10.28515625" style="3" customWidth="1"/>
    <col min="2781" max="2781" width="9.28515625" style="3" customWidth="1"/>
    <col min="2782" max="2782" width="9" style="3" customWidth="1"/>
    <col min="2783" max="2783" width="9.7109375" style="3" customWidth="1"/>
    <col min="2784" max="2784" width="10.5703125" style="3" customWidth="1"/>
    <col min="2785" max="2785" width="9.42578125" style="3" customWidth="1"/>
    <col min="2786" max="2786" width="9.5703125" style="3" customWidth="1"/>
    <col min="2787" max="2787" width="11.5703125" style="3" customWidth="1"/>
    <col min="2788" max="2788" width="10.28515625" style="3" customWidth="1"/>
    <col min="2789" max="2789" width="9.5703125" style="3" customWidth="1"/>
    <col min="2790" max="2790" width="11.7109375" style="3" customWidth="1"/>
    <col min="2791" max="2791" width="10.85546875" style="3" customWidth="1"/>
    <col min="2792" max="2792" width="15.28515625" style="3" customWidth="1"/>
    <col min="2793" max="2793" width="10" style="3" customWidth="1"/>
    <col min="2794" max="3030" width="9.140625" style="3"/>
    <col min="3031" max="3031" width="27.140625" style="3" bestFit="1" customWidth="1"/>
    <col min="3032" max="3032" width="12" style="3" customWidth="1"/>
    <col min="3033" max="3033" width="11" style="3" customWidth="1"/>
    <col min="3034" max="3034" width="8" style="3" customWidth="1"/>
    <col min="3035" max="3035" width="8.5703125" style="3" customWidth="1"/>
    <col min="3036" max="3036" width="10.28515625" style="3" customWidth="1"/>
    <col min="3037" max="3037" width="9.28515625" style="3" customWidth="1"/>
    <col min="3038" max="3038" width="9" style="3" customWidth="1"/>
    <col min="3039" max="3039" width="9.7109375" style="3" customWidth="1"/>
    <col min="3040" max="3040" width="10.5703125" style="3" customWidth="1"/>
    <col min="3041" max="3041" width="9.42578125" style="3" customWidth="1"/>
    <col min="3042" max="3042" width="9.5703125" style="3" customWidth="1"/>
    <col min="3043" max="3043" width="11.5703125" style="3" customWidth="1"/>
    <col min="3044" max="3044" width="10.28515625" style="3" customWidth="1"/>
    <col min="3045" max="3045" width="9.5703125" style="3" customWidth="1"/>
    <col min="3046" max="3046" width="11.7109375" style="3" customWidth="1"/>
    <col min="3047" max="3047" width="10.85546875" style="3" customWidth="1"/>
    <col min="3048" max="3048" width="15.28515625" style="3" customWidth="1"/>
    <col min="3049" max="3049" width="10" style="3" customWidth="1"/>
    <col min="3050" max="3286" width="9.140625" style="3"/>
    <col min="3287" max="3287" width="27.140625" style="3" bestFit="1" customWidth="1"/>
    <col min="3288" max="3288" width="12" style="3" customWidth="1"/>
    <col min="3289" max="3289" width="11" style="3" customWidth="1"/>
    <col min="3290" max="3290" width="8" style="3" customWidth="1"/>
    <col min="3291" max="3291" width="8.5703125" style="3" customWidth="1"/>
    <col min="3292" max="3292" width="10.28515625" style="3" customWidth="1"/>
    <col min="3293" max="3293" width="9.28515625" style="3" customWidth="1"/>
    <col min="3294" max="3294" width="9" style="3" customWidth="1"/>
    <col min="3295" max="3295" width="9.7109375" style="3" customWidth="1"/>
    <col min="3296" max="3296" width="10.5703125" style="3" customWidth="1"/>
    <col min="3297" max="3297" width="9.42578125" style="3" customWidth="1"/>
    <col min="3298" max="3298" width="9.5703125" style="3" customWidth="1"/>
    <col min="3299" max="3299" width="11.5703125" style="3" customWidth="1"/>
    <col min="3300" max="3300" width="10.28515625" style="3" customWidth="1"/>
    <col min="3301" max="3301" width="9.5703125" style="3" customWidth="1"/>
    <col min="3302" max="3302" width="11.7109375" style="3" customWidth="1"/>
    <col min="3303" max="3303" width="10.85546875" style="3" customWidth="1"/>
    <col min="3304" max="3304" width="15.28515625" style="3" customWidth="1"/>
    <col min="3305" max="3305" width="10" style="3" customWidth="1"/>
    <col min="3306" max="3542" width="9.140625" style="3"/>
    <col min="3543" max="3543" width="27.140625" style="3" bestFit="1" customWidth="1"/>
    <col min="3544" max="3544" width="12" style="3" customWidth="1"/>
    <col min="3545" max="3545" width="11" style="3" customWidth="1"/>
    <col min="3546" max="3546" width="8" style="3" customWidth="1"/>
    <col min="3547" max="3547" width="8.5703125" style="3" customWidth="1"/>
    <col min="3548" max="3548" width="10.28515625" style="3" customWidth="1"/>
    <col min="3549" max="3549" width="9.28515625" style="3" customWidth="1"/>
    <col min="3550" max="3550" width="9" style="3" customWidth="1"/>
    <col min="3551" max="3551" width="9.7109375" style="3" customWidth="1"/>
    <col min="3552" max="3552" width="10.5703125" style="3" customWidth="1"/>
    <col min="3553" max="3553" width="9.42578125" style="3" customWidth="1"/>
    <col min="3554" max="3554" width="9.5703125" style="3" customWidth="1"/>
    <col min="3555" max="3555" width="11.5703125" style="3" customWidth="1"/>
    <col min="3556" max="3556" width="10.28515625" style="3" customWidth="1"/>
    <col min="3557" max="3557" width="9.5703125" style="3" customWidth="1"/>
    <col min="3558" max="3558" width="11.7109375" style="3" customWidth="1"/>
    <col min="3559" max="3559" width="10.85546875" style="3" customWidth="1"/>
    <col min="3560" max="3560" width="15.28515625" style="3" customWidth="1"/>
    <col min="3561" max="3561" width="10" style="3" customWidth="1"/>
    <col min="3562" max="3798" width="9.140625" style="3"/>
    <col min="3799" max="3799" width="27.140625" style="3" bestFit="1" customWidth="1"/>
    <col min="3800" max="3800" width="12" style="3" customWidth="1"/>
    <col min="3801" max="3801" width="11" style="3" customWidth="1"/>
    <col min="3802" max="3802" width="8" style="3" customWidth="1"/>
    <col min="3803" max="3803" width="8.5703125" style="3" customWidth="1"/>
    <col min="3804" max="3804" width="10.28515625" style="3" customWidth="1"/>
    <col min="3805" max="3805" width="9.28515625" style="3" customWidth="1"/>
    <col min="3806" max="3806" width="9" style="3" customWidth="1"/>
    <col min="3807" max="3807" width="9.7109375" style="3" customWidth="1"/>
    <col min="3808" max="3808" width="10.5703125" style="3" customWidth="1"/>
    <col min="3809" max="3809" width="9.42578125" style="3" customWidth="1"/>
    <col min="3810" max="3810" width="9.5703125" style="3" customWidth="1"/>
    <col min="3811" max="3811" width="11.5703125" style="3" customWidth="1"/>
    <col min="3812" max="3812" width="10.28515625" style="3" customWidth="1"/>
    <col min="3813" max="3813" width="9.5703125" style="3" customWidth="1"/>
    <col min="3814" max="3814" width="11.7109375" style="3" customWidth="1"/>
    <col min="3815" max="3815" width="10.85546875" style="3" customWidth="1"/>
    <col min="3816" max="3816" width="15.28515625" style="3" customWidth="1"/>
    <col min="3817" max="3817" width="10" style="3" customWidth="1"/>
    <col min="3818" max="4054" width="9.140625" style="3"/>
    <col min="4055" max="4055" width="27.140625" style="3" bestFit="1" customWidth="1"/>
    <col min="4056" max="4056" width="12" style="3" customWidth="1"/>
    <col min="4057" max="4057" width="11" style="3" customWidth="1"/>
    <col min="4058" max="4058" width="8" style="3" customWidth="1"/>
    <col min="4059" max="4059" width="8.5703125" style="3" customWidth="1"/>
    <col min="4060" max="4060" width="10.28515625" style="3" customWidth="1"/>
    <col min="4061" max="4061" width="9.28515625" style="3" customWidth="1"/>
    <col min="4062" max="4062" width="9" style="3" customWidth="1"/>
    <col min="4063" max="4063" width="9.7109375" style="3" customWidth="1"/>
    <col min="4064" max="4064" width="10.5703125" style="3" customWidth="1"/>
    <col min="4065" max="4065" width="9.42578125" style="3" customWidth="1"/>
    <col min="4066" max="4066" width="9.5703125" style="3" customWidth="1"/>
    <col min="4067" max="4067" width="11.5703125" style="3" customWidth="1"/>
    <col min="4068" max="4068" width="10.28515625" style="3" customWidth="1"/>
    <col min="4069" max="4069" width="9.5703125" style="3" customWidth="1"/>
    <col min="4070" max="4070" width="11.7109375" style="3" customWidth="1"/>
    <col min="4071" max="4071" width="10.85546875" style="3" customWidth="1"/>
    <col min="4072" max="4072" width="15.28515625" style="3" customWidth="1"/>
    <col min="4073" max="4073" width="10" style="3" customWidth="1"/>
    <col min="4074" max="4310" width="9.140625" style="3"/>
    <col min="4311" max="4311" width="27.140625" style="3" bestFit="1" customWidth="1"/>
    <col min="4312" max="4312" width="12" style="3" customWidth="1"/>
    <col min="4313" max="4313" width="11" style="3" customWidth="1"/>
    <col min="4314" max="4314" width="8" style="3" customWidth="1"/>
    <col min="4315" max="4315" width="8.5703125" style="3" customWidth="1"/>
    <col min="4316" max="4316" width="10.28515625" style="3" customWidth="1"/>
    <col min="4317" max="4317" width="9.28515625" style="3" customWidth="1"/>
    <col min="4318" max="4318" width="9" style="3" customWidth="1"/>
    <col min="4319" max="4319" width="9.7109375" style="3" customWidth="1"/>
    <col min="4320" max="4320" width="10.5703125" style="3" customWidth="1"/>
    <col min="4321" max="4321" width="9.42578125" style="3" customWidth="1"/>
    <col min="4322" max="4322" width="9.5703125" style="3" customWidth="1"/>
    <col min="4323" max="4323" width="11.5703125" style="3" customWidth="1"/>
    <col min="4324" max="4324" width="10.28515625" style="3" customWidth="1"/>
    <col min="4325" max="4325" width="9.5703125" style="3" customWidth="1"/>
    <col min="4326" max="4326" width="11.7109375" style="3" customWidth="1"/>
    <col min="4327" max="4327" width="10.85546875" style="3" customWidth="1"/>
    <col min="4328" max="4328" width="15.28515625" style="3" customWidth="1"/>
    <col min="4329" max="4329" width="10" style="3" customWidth="1"/>
    <col min="4330" max="4566" width="9.140625" style="3"/>
    <col min="4567" max="4567" width="27.140625" style="3" bestFit="1" customWidth="1"/>
    <col min="4568" max="4568" width="12" style="3" customWidth="1"/>
    <col min="4569" max="4569" width="11" style="3" customWidth="1"/>
    <col min="4570" max="4570" width="8" style="3" customWidth="1"/>
    <col min="4571" max="4571" width="8.5703125" style="3" customWidth="1"/>
    <col min="4572" max="4572" width="10.28515625" style="3" customWidth="1"/>
    <col min="4573" max="4573" width="9.28515625" style="3" customWidth="1"/>
    <col min="4574" max="4574" width="9" style="3" customWidth="1"/>
    <col min="4575" max="4575" width="9.7109375" style="3" customWidth="1"/>
    <col min="4576" max="4576" width="10.5703125" style="3" customWidth="1"/>
    <col min="4577" max="4577" width="9.42578125" style="3" customWidth="1"/>
    <col min="4578" max="4578" width="9.5703125" style="3" customWidth="1"/>
    <col min="4579" max="4579" width="11.5703125" style="3" customWidth="1"/>
    <col min="4580" max="4580" width="10.28515625" style="3" customWidth="1"/>
    <col min="4581" max="4581" width="9.5703125" style="3" customWidth="1"/>
    <col min="4582" max="4582" width="11.7109375" style="3" customWidth="1"/>
    <col min="4583" max="4583" width="10.85546875" style="3" customWidth="1"/>
    <col min="4584" max="4584" width="15.28515625" style="3" customWidth="1"/>
    <col min="4585" max="4585" width="10" style="3" customWidth="1"/>
    <col min="4586" max="4822" width="9.140625" style="3"/>
    <col min="4823" max="4823" width="27.140625" style="3" bestFit="1" customWidth="1"/>
    <col min="4824" max="4824" width="12" style="3" customWidth="1"/>
    <col min="4825" max="4825" width="11" style="3" customWidth="1"/>
    <col min="4826" max="4826" width="8" style="3" customWidth="1"/>
    <col min="4827" max="4827" width="8.5703125" style="3" customWidth="1"/>
    <col min="4828" max="4828" width="10.28515625" style="3" customWidth="1"/>
    <col min="4829" max="4829" width="9.28515625" style="3" customWidth="1"/>
    <col min="4830" max="4830" width="9" style="3" customWidth="1"/>
    <col min="4831" max="4831" width="9.7109375" style="3" customWidth="1"/>
    <col min="4832" max="4832" width="10.5703125" style="3" customWidth="1"/>
    <col min="4833" max="4833" width="9.42578125" style="3" customWidth="1"/>
    <col min="4834" max="4834" width="9.5703125" style="3" customWidth="1"/>
    <col min="4835" max="4835" width="11.5703125" style="3" customWidth="1"/>
    <col min="4836" max="4836" width="10.28515625" style="3" customWidth="1"/>
    <col min="4837" max="4837" width="9.5703125" style="3" customWidth="1"/>
    <col min="4838" max="4838" width="11.7109375" style="3" customWidth="1"/>
    <col min="4839" max="4839" width="10.85546875" style="3" customWidth="1"/>
    <col min="4840" max="4840" width="15.28515625" style="3" customWidth="1"/>
    <col min="4841" max="4841" width="10" style="3" customWidth="1"/>
    <col min="4842" max="5078" width="9.140625" style="3"/>
    <col min="5079" max="5079" width="27.140625" style="3" bestFit="1" customWidth="1"/>
    <col min="5080" max="5080" width="12" style="3" customWidth="1"/>
    <col min="5081" max="5081" width="11" style="3" customWidth="1"/>
    <col min="5082" max="5082" width="8" style="3" customWidth="1"/>
    <col min="5083" max="5083" width="8.5703125" style="3" customWidth="1"/>
    <col min="5084" max="5084" width="10.28515625" style="3" customWidth="1"/>
    <col min="5085" max="5085" width="9.28515625" style="3" customWidth="1"/>
    <col min="5086" max="5086" width="9" style="3" customWidth="1"/>
    <col min="5087" max="5087" width="9.7109375" style="3" customWidth="1"/>
    <col min="5088" max="5088" width="10.5703125" style="3" customWidth="1"/>
    <col min="5089" max="5089" width="9.42578125" style="3" customWidth="1"/>
    <col min="5090" max="5090" width="9.5703125" style="3" customWidth="1"/>
    <col min="5091" max="5091" width="11.5703125" style="3" customWidth="1"/>
    <col min="5092" max="5092" width="10.28515625" style="3" customWidth="1"/>
    <col min="5093" max="5093" width="9.5703125" style="3" customWidth="1"/>
    <col min="5094" max="5094" width="11.7109375" style="3" customWidth="1"/>
    <col min="5095" max="5095" width="10.85546875" style="3" customWidth="1"/>
    <col min="5096" max="5096" width="15.28515625" style="3" customWidth="1"/>
    <col min="5097" max="5097" width="10" style="3" customWidth="1"/>
    <col min="5098" max="5334" width="9.140625" style="3"/>
    <col min="5335" max="5335" width="27.140625" style="3" bestFit="1" customWidth="1"/>
    <col min="5336" max="5336" width="12" style="3" customWidth="1"/>
    <col min="5337" max="5337" width="11" style="3" customWidth="1"/>
    <col min="5338" max="5338" width="8" style="3" customWidth="1"/>
    <col min="5339" max="5339" width="8.5703125" style="3" customWidth="1"/>
    <col min="5340" max="5340" width="10.28515625" style="3" customWidth="1"/>
    <col min="5341" max="5341" width="9.28515625" style="3" customWidth="1"/>
    <col min="5342" max="5342" width="9" style="3" customWidth="1"/>
    <col min="5343" max="5343" width="9.7109375" style="3" customWidth="1"/>
    <col min="5344" max="5344" width="10.5703125" style="3" customWidth="1"/>
    <col min="5345" max="5345" width="9.42578125" style="3" customWidth="1"/>
    <col min="5346" max="5346" width="9.5703125" style="3" customWidth="1"/>
    <col min="5347" max="5347" width="11.5703125" style="3" customWidth="1"/>
    <col min="5348" max="5348" width="10.28515625" style="3" customWidth="1"/>
    <col min="5349" max="5349" width="9.5703125" style="3" customWidth="1"/>
    <col min="5350" max="5350" width="11.7109375" style="3" customWidth="1"/>
    <col min="5351" max="5351" width="10.85546875" style="3" customWidth="1"/>
    <col min="5352" max="5352" width="15.28515625" style="3" customWidth="1"/>
    <col min="5353" max="5353" width="10" style="3" customWidth="1"/>
    <col min="5354" max="5590" width="9.140625" style="3"/>
    <col min="5591" max="5591" width="27.140625" style="3" bestFit="1" customWidth="1"/>
    <col min="5592" max="5592" width="12" style="3" customWidth="1"/>
    <col min="5593" max="5593" width="11" style="3" customWidth="1"/>
    <col min="5594" max="5594" width="8" style="3" customWidth="1"/>
    <col min="5595" max="5595" width="8.5703125" style="3" customWidth="1"/>
    <col min="5596" max="5596" width="10.28515625" style="3" customWidth="1"/>
    <col min="5597" max="5597" width="9.28515625" style="3" customWidth="1"/>
    <col min="5598" max="5598" width="9" style="3" customWidth="1"/>
    <col min="5599" max="5599" width="9.7109375" style="3" customWidth="1"/>
    <col min="5600" max="5600" width="10.5703125" style="3" customWidth="1"/>
    <col min="5601" max="5601" width="9.42578125" style="3" customWidth="1"/>
    <col min="5602" max="5602" width="9.5703125" style="3" customWidth="1"/>
    <col min="5603" max="5603" width="11.5703125" style="3" customWidth="1"/>
    <col min="5604" max="5604" width="10.28515625" style="3" customWidth="1"/>
    <col min="5605" max="5605" width="9.5703125" style="3" customWidth="1"/>
    <col min="5606" max="5606" width="11.7109375" style="3" customWidth="1"/>
    <col min="5607" max="5607" width="10.85546875" style="3" customWidth="1"/>
    <col min="5608" max="5608" width="15.28515625" style="3" customWidth="1"/>
    <col min="5609" max="5609" width="10" style="3" customWidth="1"/>
    <col min="5610" max="5846" width="9.140625" style="3"/>
    <col min="5847" max="5847" width="27.140625" style="3" bestFit="1" customWidth="1"/>
    <col min="5848" max="5848" width="12" style="3" customWidth="1"/>
    <col min="5849" max="5849" width="11" style="3" customWidth="1"/>
    <col min="5850" max="5850" width="8" style="3" customWidth="1"/>
    <col min="5851" max="5851" width="8.5703125" style="3" customWidth="1"/>
    <col min="5852" max="5852" width="10.28515625" style="3" customWidth="1"/>
    <col min="5853" max="5853" width="9.28515625" style="3" customWidth="1"/>
    <col min="5854" max="5854" width="9" style="3" customWidth="1"/>
    <col min="5855" max="5855" width="9.7109375" style="3" customWidth="1"/>
    <col min="5856" max="5856" width="10.5703125" style="3" customWidth="1"/>
    <col min="5857" max="5857" width="9.42578125" style="3" customWidth="1"/>
    <col min="5858" max="5858" width="9.5703125" style="3" customWidth="1"/>
    <col min="5859" max="5859" width="11.5703125" style="3" customWidth="1"/>
    <col min="5860" max="5860" width="10.28515625" style="3" customWidth="1"/>
    <col min="5861" max="5861" width="9.5703125" style="3" customWidth="1"/>
    <col min="5862" max="5862" width="11.7109375" style="3" customWidth="1"/>
    <col min="5863" max="5863" width="10.85546875" style="3" customWidth="1"/>
    <col min="5864" max="5864" width="15.28515625" style="3" customWidth="1"/>
    <col min="5865" max="5865" width="10" style="3" customWidth="1"/>
    <col min="5866" max="6102" width="9.140625" style="3"/>
    <col min="6103" max="6103" width="27.140625" style="3" bestFit="1" customWidth="1"/>
    <col min="6104" max="6104" width="12" style="3" customWidth="1"/>
    <col min="6105" max="6105" width="11" style="3" customWidth="1"/>
    <col min="6106" max="6106" width="8" style="3" customWidth="1"/>
    <col min="6107" max="6107" width="8.5703125" style="3" customWidth="1"/>
    <col min="6108" max="6108" width="10.28515625" style="3" customWidth="1"/>
    <col min="6109" max="6109" width="9.28515625" style="3" customWidth="1"/>
    <col min="6110" max="6110" width="9" style="3" customWidth="1"/>
    <col min="6111" max="6111" width="9.7109375" style="3" customWidth="1"/>
    <col min="6112" max="6112" width="10.5703125" style="3" customWidth="1"/>
    <col min="6113" max="6113" width="9.42578125" style="3" customWidth="1"/>
    <col min="6114" max="6114" width="9.5703125" style="3" customWidth="1"/>
    <col min="6115" max="6115" width="11.5703125" style="3" customWidth="1"/>
    <col min="6116" max="6116" width="10.28515625" style="3" customWidth="1"/>
    <col min="6117" max="6117" width="9.5703125" style="3" customWidth="1"/>
    <col min="6118" max="6118" width="11.7109375" style="3" customWidth="1"/>
    <col min="6119" max="6119" width="10.85546875" style="3" customWidth="1"/>
    <col min="6120" max="6120" width="15.28515625" style="3" customWidth="1"/>
    <col min="6121" max="6121" width="10" style="3" customWidth="1"/>
    <col min="6122" max="6358" width="9.140625" style="3"/>
    <col min="6359" max="6359" width="27.140625" style="3" bestFit="1" customWidth="1"/>
    <col min="6360" max="6360" width="12" style="3" customWidth="1"/>
    <col min="6361" max="6361" width="11" style="3" customWidth="1"/>
    <col min="6362" max="6362" width="8" style="3" customWidth="1"/>
    <col min="6363" max="6363" width="8.5703125" style="3" customWidth="1"/>
    <col min="6364" max="6364" width="10.28515625" style="3" customWidth="1"/>
    <col min="6365" max="6365" width="9.28515625" style="3" customWidth="1"/>
    <col min="6366" max="6366" width="9" style="3" customWidth="1"/>
    <col min="6367" max="6367" width="9.7109375" style="3" customWidth="1"/>
    <col min="6368" max="6368" width="10.5703125" style="3" customWidth="1"/>
    <col min="6369" max="6369" width="9.42578125" style="3" customWidth="1"/>
    <col min="6370" max="6370" width="9.5703125" style="3" customWidth="1"/>
    <col min="6371" max="6371" width="11.5703125" style="3" customWidth="1"/>
    <col min="6372" max="6372" width="10.28515625" style="3" customWidth="1"/>
    <col min="6373" max="6373" width="9.5703125" style="3" customWidth="1"/>
    <col min="6374" max="6374" width="11.7109375" style="3" customWidth="1"/>
    <col min="6375" max="6375" width="10.85546875" style="3" customWidth="1"/>
    <col min="6376" max="6376" width="15.28515625" style="3" customWidth="1"/>
    <col min="6377" max="6377" width="10" style="3" customWidth="1"/>
    <col min="6378" max="6614" width="9.140625" style="3"/>
    <col min="6615" max="6615" width="27.140625" style="3" bestFit="1" customWidth="1"/>
    <col min="6616" max="6616" width="12" style="3" customWidth="1"/>
    <col min="6617" max="6617" width="11" style="3" customWidth="1"/>
    <col min="6618" max="6618" width="8" style="3" customWidth="1"/>
    <col min="6619" max="6619" width="8.5703125" style="3" customWidth="1"/>
    <col min="6620" max="6620" width="10.28515625" style="3" customWidth="1"/>
    <col min="6621" max="6621" width="9.28515625" style="3" customWidth="1"/>
    <col min="6622" max="6622" width="9" style="3" customWidth="1"/>
    <col min="6623" max="6623" width="9.7109375" style="3" customWidth="1"/>
    <col min="6624" max="6624" width="10.5703125" style="3" customWidth="1"/>
    <col min="6625" max="6625" width="9.42578125" style="3" customWidth="1"/>
    <col min="6626" max="6626" width="9.5703125" style="3" customWidth="1"/>
    <col min="6627" max="6627" width="11.5703125" style="3" customWidth="1"/>
    <col min="6628" max="6628" width="10.28515625" style="3" customWidth="1"/>
    <col min="6629" max="6629" width="9.5703125" style="3" customWidth="1"/>
    <col min="6630" max="6630" width="11.7109375" style="3" customWidth="1"/>
    <col min="6631" max="6631" width="10.85546875" style="3" customWidth="1"/>
    <col min="6632" max="6632" width="15.28515625" style="3" customWidth="1"/>
    <col min="6633" max="6633" width="10" style="3" customWidth="1"/>
    <col min="6634" max="6870" width="9.140625" style="3"/>
    <col min="6871" max="6871" width="27.140625" style="3" bestFit="1" customWidth="1"/>
    <col min="6872" max="6872" width="12" style="3" customWidth="1"/>
    <col min="6873" max="6873" width="11" style="3" customWidth="1"/>
    <col min="6874" max="6874" width="8" style="3" customWidth="1"/>
    <col min="6875" max="6875" width="8.5703125" style="3" customWidth="1"/>
    <col min="6876" max="6876" width="10.28515625" style="3" customWidth="1"/>
    <col min="6877" max="6877" width="9.28515625" style="3" customWidth="1"/>
    <col min="6878" max="6878" width="9" style="3" customWidth="1"/>
    <col min="6879" max="6879" width="9.7109375" style="3" customWidth="1"/>
    <col min="6880" max="6880" width="10.5703125" style="3" customWidth="1"/>
    <col min="6881" max="6881" width="9.42578125" style="3" customWidth="1"/>
    <col min="6882" max="6882" width="9.5703125" style="3" customWidth="1"/>
    <col min="6883" max="6883" width="11.5703125" style="3" customWidth="1"/>
    <col min="6884" max="6884" width="10.28515625" style="3" customWidth="1"/>
    <col min="6885" max="6885" width="9.5703125" style="3" customWidth="1"/>
    <col min="6886" max="6886" width="11.7109375" style="3" customWidth="1"/>
    <col min="6887" max="6887" width="10.85546875" style="3" customWidth="1"/>
    <col min="6888" max="6888" width="15.28515625" style="3" customWidth="1"/>
    <col min="6889" max="6889" width="10" style="3" customWidth="1"/>
    <col min="6890" max="7126" width="9.140625" style="3"/>
    <col min="7127" max="7127" width="27.140625" style="3" bestFit="1" customWidth="1"/>
    <col min="7128" max="7128" width="12" style="3" customWidth="1"/>
    <col min="7129" max="7129" width="11" style="3" customWidth="1"/>
    <col min="7130" max="7130" width="8" style="3" customWidth="1"/>
    <col min="7131" max="7131" width="8.5703125" style="3" customWidth="1"/>
    <col min="7132" max="7132" width="10.28515625" style="3" customWidth="1"/>
    <col min="7133" max="7133" width="9.28515625" style="3" customWidth="1"/>
    <col min="7134" max="7134" width="9" style="3" customWidth="1"/>
    <col min="7135" max="7135" width="9.7109375" style="3" customWidth="1"/>
    <col min="7136" max="7136" width="10.5703125" style="3" customWidth="1"/>
    <col min="7137" max="7137" width="9.42578125" style="3" customWidth="1"/>
    <col min="7138" max="7138" width="9.5703125" style="3" customWidth="1"/>
    <col min="7139" max="7139" width="11.5703125" style="3" customWidth="1"/>
    <col min="7140" max="7140" width="10.28515625" style="3" customWidth="1"/>
    <col min="7141" max="7141" width="9.5703125" style="3" customWidth="1"/>
    <col min="7142" max="7142" width="11.7109375" style="3" customWidth="1"/>
    <col min="7143" max="7143" width="10.85546875" style="3" customWidth="1"/>
    <col min="7144" max="7144" width="15.28515625" style="3" customWidth="1"/>
    <col min="7145" max="7145" width="10" style="3" customWidth="1"/>
    <col min="7146" max="7382" width="9.140625" style="3"/>
    <col min="7383" max="7383" width="27.140625" style="3" bestFit="1" customWidth="1"/>
    <col min="7384" max="7384" width="12" style="3" customWidth="1"/>
    <col min="7385" max="7385" width="11" style="3" customWidth="1"/>
    <col min="7386" max="7386" width="8" style="3" customWidth="1"/>
    <col min="7387" max="7387" width="8.5703125" style="3" customWidth="1"/>
    <col min="7388" max="7388" width="10.28515625" style="3" customWidth="1"/>
    <col min="7389" max="7389" width="9.28515625" style="3" customWidth="1"/>
    <col min="7390" max="7390" width="9" style="3" customWidth="1"/>
    <col min="7391" max="7391" width="9.7109375" style="3" customWidth="1"/>
    <col min="7392" max="7392" width="10.5703125" style="3" customWidth="1"/>
    <col min="7393" max="7393" width="9.42578125" style="3" customWidth="1"/>
    <col min="7394" max="7394" width="9.5703125" style="3" customWidth="1"/>
    <col min="7395" max="7395" width="11.5703125" style="3" customWidth="1"/>
    <col min="7396" max="7396" width="10.28515625" style="3" customWidth="1"/>
    <col min="7397" max="7397" width="9.5703125" style="3" customWidth="1"/>
    <col min="7398" max="7398" width="11.7109375" style="3" customWidth="1"/>
    <col min="7399" max="7399" width="10.85546875" style="3" customWidth="1"/>
    <col min="7400" max="7400" width="15.28515625" style="3" customWidth="1"/>
    <col min="7401" max="7401" width="10" style="3" customWidth="1"/>
    <col min="7402" max="7638" width="9.140625" style="3"/>
    <col min="7639" max="7639" width="27.140625" style="3" bestFit="1" customWidth="1"/>
    <col min="7640" max="7640" width="12" style="3" customWidth="1"/>
    <col min="7641" max="7641" width="11" style="3" customWidth="1"/>
    <col min="7642" max="7642" width="8" style="3" customWidth="1"/>
    <col min="7643" max="7643" width="8.5703125" style="3" customWidth="1"/>
    <col min="7644" max="7644" width="10.28515625" style="3" customWidth="1"/>
    <col min="7645" max="7645" width="9.28515625" style="3" customWidth="1"/>
    <col min="7646" max="7646" width="9" style="3" customWidth="1"/>
    <col min="7647" max="7647" width="9.7109375" style="3" customWidth="1"/>
    <col min="7648" max="7648" width="10.5703125" style="3" customWidth="1"/>
    <col min="7649" max="7649" width="9.42578125" style="3" customWidth="1"/>
    <col min="7650" max="7650" width="9.5703125" style="3" customWidth="1"/>
    <col min="7651" max="7651" width="11.5703125" style="3" customWidth="1"/>
    <col min="7652" max="7652" width="10.28515625" style="3" customWidth="1"/>
    <col min="7653" max="7653" width="9.5703125" style="3" customWidth="1"/>
    <col min="7654" max="7654" width="11.7109375" style="3" customWidth="1"/>
    <col min="7655" max="7655" width="10.85546875" style="3" customWidth="1"/>
    <col min="7656" max="7656" width="15.28515625" style="3" customWidth="1"/>
    <col min="7657" max="7657" width="10" style="3" customWidth="1"/>
    <col min="7658" max="7894" width="9.140625" style="3"/>
    <col min="7895" max="7895" width="27.140625" style="3" bestFit="1" customWidth="1"/>
    <col min="7896" max="7896" width="12" style="3" customWidth="1"/>
    <col min="7897" max="7897" width="11" style="3" customWidth="1"/>
    <col min="7898" max="7898" width="8" style="3" customWidth="1"/>
    <col min="7899" max="7899" width="8.5703125" style="3" customWidth="1"/>
    <col min="7900" max="7900" width="10.28515625" style="3" customWidth="1"/>
    <col min="7901" max="7901" width="9.28515625" style="3" customWidth="1"/>
    <col min="7902" max="7902" width="9" style="3" customWidth="1"/>
    <col min="7903" max="7903" width="9.7109375" style="3" customWidth="1"/>
    <col min="7904" max="7904" width="10.5703125" style="3" customWidth="1"/>
    <col min="7905" max="7905" width="9.42578125" style="3" customWidth="1"/>
    <col min="7906" max="7906" width="9.5703125" style="3" customWidth="1"/>
    <col min="7907" max="7907" width="11.5703125" style="3" customWidth="1"/>
    <col min="7908" max="7908" width="10.28515625" style="3" customWidth="1"/>
    <col min="7909" max="7909" width="9.5703125" style="3" customWidth="1"/>
    <col min="7910" max="7910" width="11.7109375" style="3" customWidth="1"/>
    <col min="7911" max="7911" width="10.85546875" style="3" customWidth="1"/>
    <col min="7912" max="7912" width="15.28515625" style="3" customWidth="1"/>
    <col min="7913" max="7913" width="10" style="3" customWidth="1"/>
    <col min="7914" max="8150" width="9.140625" style="3"/>
    <col min="8151" max="8151" width="27.140625" style="3" bestFit="1" customWidth="1"/>
    <col min="8152" max="8152" width="12" style="3" customWidth="1"/>
    <col min="8153" max="8153" width="11" style="3" customWidth="1"/>
    <col min="8154" max="8154" width="8" style="3" customWidth="1"/>
    <col min="8155" max="8155" width="8.5703125" style="3" customWidth="1"/>
    <col min="8156" max="8156" width="10.28515625" style="3" customWidth="1"/>
    <col min="8157" max="8157" width="9.28515625" style="3" customWidth="1"/>
    <col min="8158" max="8158" width="9" style="3" customWidth="1"/>
    <col min="8159" max="8159" width="9.7109375" style="3" customWidth="1"/>
    <col min="8160" max="8160" width="10.5703125" style="3" customWidth="1"/>
    <col min="8161" max="8161" width="9.42578125" style="3" customWidth="1"/>
    <col min="8162" max="8162" width="9.5703125" style="3" customWidth="1"/>
    <col min="8163" max="8163" width="11.5703125" style="3" customWidth="1"/>
    <col min="8164" max="8164" width="10.28515625" style="3" customWidth="1"/>
    <col min="8165" max="8165" width="9.5703125" style="3" customWidth="1"/>
    <col min="8166" max="8166" width="11.7109375" style="3" customWidth="1"/>
    <col min="8167" max="8167" width="10.85546875" style="3" customWidth="1"/>
    <col min="8168" max="8168" width="15.28515625" style="3" customWidth="1"/>
    <col min="8169" max="8169" width="10" style="3" customWidth="1"/>
    <col min="8170" max="8406" width="9.140625" style="3"/>
    <col min="8407" max="8407" width="27.140625" style="3" bestFit="1" customWidth="1"/>
    <col min="8408" max="8408" width="12" style="3" customWidth="1"/>
    <col min="8409" max="8409" width="11" style="3" customWidth="1"/>
    <col min="8410" max="8410" width="8" style="3" customWidth="1"/>
    <col min="8411" max="8411" width="8.5703125" style="3" customWidth="1"/>
    <col min="8412" max="8412" width="10.28515625" style="3" customWidth="1"/>
    <col min="8413" max="8413" width="9.28515625" style="3" customWidth="1"/>
    <col min="8414" max="8414" width="9" style="3" customWidth="1"/>
    <col min="8415" max="8415" width="9.7109375" style="3" customWidth="1"/>
    <col min="8416" max="8416" width="10.5703125" style="3" customWidth="1"/>
    <col min="8417" max="8417" width="9.42578125" style="3" customWidth="1"/>
    <col min="8418" max="8418" width="9.5703125" style="3" customWidth="1"/>
    <col min="8419" max="8419" width="11.5703125" style="3" customWidth="1"/>
    <col min="8420" max="8420" width="10.28515625" style="3" customWidth="1"/>
    <col min="8421" max="8421" width="9.5703125" style="3" customWidth="1"/>
    <col min="8422" max="8422" width="11.7109375" style="3" customWidth="1"/>
    <col min="8423" max="8423" width="10.85546875" style="3" customWidth="1"/>
    <col min="8424" max="8424" width="15.28515625" style="3" customWidth="1"/>
    <col min="8425" max="8425" width="10" style="3" customWidth="1"/>
    <col min="8426" max="8662" width="9.140625" style="3"/>
    <col min="8663" max="8663" width="27.140625" style="3" bestFit="1" customWidth="1"/>
    <col min="8664" max="8664" width="12" style="3" customWidth="1"/>
    <col min="8665" max="8665" width="11" style="3" customWidth="1"/>
    <col min="8666" max="8666" width="8" style="3" customWidth="1"/>
    <col min="8667" max="8667" width="8.5703125" style="3" customWidth="1"/>
    <col min="8668" max="8668" width="10.28515625" style="3" customWidth="1"/>
    <col min="8669" max="8669" width="9.28515625" style="3" customWidth="1"/>
    <col min="8670" max="8670" width="9" style="3" customWidth="1"/>
    <col min="8671" max="8671" width="9.7109375" style="3" customWidth="1"/>
    <col min="8672" max="8672" width="10.5703125" style="3" customWidth="1"/>
    <col min="8673" max="8673" width="9.42578125" style="3" customWidth="1"/>
    <col min="8674" max="8674" width="9.5703125" style="3" customWidth="1"/>
    <col min="8675" max="8675" width="11.5703125" style="3" customWidth="1"/>
    <col min="8676" max="8676" width="10.28515625" style="3" customWidth="1"/>
    <col min="8677" max="8677" width="9.5703125" style="3" customWidth="1"/>
    <col min="8678" max="8678" width="11.7109375" style="3" customWidth="1"/>
    <col min="8679" max="8679" width="10.85546875" style="3" customWidth="1"/>
    <col min="8680" max="8680" width="15.28515625" style="3" customWidth="1"/>
    <col min="8681" max="8681" width="10" style="3" customWidth="1"/>
    <col min="8682" max="8918" width="9.140625" style="3"/>
    <col min="8919" max="8919" width="27.140625" style="3" bestFit="1" customWidth="1"/>
    <col min="8920" max="8920" width="12" style="3" customWidth="1"/>
    <col min="8921" max="8921" width="11" style="3" customWidth="1"/>
    <col min="8922" max="8922" width="8" style="3" customWidth="1"/>
    <col min="8923" max="8923" width="8.5703125" style="3" customWidth="1"/>
    <col min="8924" max="8924" width="10.28515625" style="3" customWidth="1"/>
    <col min="8925" max="8925" width="9.28515625" style="3" customWidth="1"/>
    <col min="8926" max="8926" width="9" style="3" customWidth="1"/>
    <col min="8927" max="8927" width="9.7109375" style="3" customWidth="1"/>
    <col min="8928" max="8928" width="10.5703125" style="3" customWidth="1"/>
    <col min="8929" max="8929" width="9.42578125" style="3" customWidth="1"/>
    <col min="8930" max="8930" width="9.5703125" style="3" customWidth="1"/>
    <col min="8931" max="8931" width="11.5703125" style="3" customWidth="1"/>
    <col min="8932" max="8932" width="10.28515625" style="3" customWidth="1"/>
    <col min="8933" max="8933" width="9.5703125" style="3" customWidth="1"/>
    <col min="8934" max="8934" width="11.7109375" style="3" customWidth="1"/>
    <col min="8935" max="8935" width="10.85546875" style="3" customWidth="1"/>
    <col min="8936" max="8936" width="15.28515625" style="3" customWidth="1"/>
    <col min="8937" max="8937" width="10" style="3" customWidth="1"/>
    <col min="8938" max="9174" width="9.140625" style="3"/>
    <col min="9175" max="9175" width="27.140625" style="3" bestFit="1" customWidth="1"/>
    <col min="9176" max="9176" width="12" style="3" customWidth="1"/>
    <col min="9177" max="9177" width="11" style="3" customWidth="1"/>
    <col min="9178" max="9178" width="8" style="3" customWidth="1"/>
    <col min="9179" max="9179" width="8.5703125" style="3" customWidth="1"/>
    <col min="9180" max="9180" width="10.28515625" style="3" customWidth="1"/>
    <col min="9181" max="9181" width="9.28515625" style="3" customWidth="1"/>
    <col min="9182" max="9182" width="9" style="3" customWidth="1"/>
    <col min="9183" max="9183" width="9.7109375" style="3" customWidth="1"/>
    <col min="9184" max="9184" width="10.5703125" style="3" customWidth="1"/>
    <col min="9185" max="9185" width="9.42578125" style="3" customWidth="1"/>
    <col min="9186" max="9186" width="9.5703125" style="3" customWidth="1"/>
    <col min="9187" max="9187" width="11.5703125" style="3" customWidth="1"/>
    <col min="9188" max="9188" width="10.28515625" style="3" customWidth="1"/>
    <col min="9189" max="9189" width="9.5703125" style="3" customWidth="1"/>
    <col min="9190" max="9190" width="11.7109375" style="3" customWidth="1"/>
    <col min="9191" max="9191" width="10.85546875" style="3" customWidth="1"/>
    <col min="9192" max="9192" width="15.28515625" style="3" customWidth="1"/>
    <col min="9193" max="9193" width="10" style="3" customWidth="1"/>
    <col min="9194" max="9430" width="9.140625" style="3"/>
    <col min="9431" max="9431" width="27.140625" style="3" bestFit="1" customWidth="1"/>
    <col min="9432" max="9432" width="12" style="3" customWidth="1"/>
    <col min="9433" max="9433" width="11" style="3" customWidth="1"/>
    <col min="9434" max="9434" width="8" style="3" customWidth="1"/>
    <col min="9435" max="9435" width="8.5703125" style="3" customWidth="1"/>
    <col min="9436" max="9436" width="10.28515625" style="3" customWidth="1"/>
    <col min="9437" max="9437" width="9.28515625" style="3" customWidth="1"/>
    <col min="9438" max="9438" width="9" style="3" customWidth="1"/>
    <col min="9439" max="9439" width="9.7109375" style="3" customWidth="1"/>
    <col min="9440" max="9440" width="10.5703125" style="3" customWidth="1"/>
    <col min="9441" max="9441" width="9.42578125" style="3" customWidth="1"/>
    <col min="9442" max="9442" width="9.5703125" style="3" customWidth="1"/>
    <col min="9443" max="9443" width="11.5703125" style="3" customWidth="1"/>
    <col min="9444" max="9444" width="10.28515625" style="3" customWidth="1"/>
    <col min="9445" max="9445" width="9.5703125" style="3" customWidth="1"/>
    <col min="9446" max="9446" width="11.7109375" style="3" customWidth="1"/>
    <col min="9447" max="9447" width="10.85546875" style="3" customWidth="1"/>
    <col min="9448" max="9448" width="15.28515625" style="3" customWidth="1"/>
    <col min="9449" max="9449" width="10" style="3" customWidth="1"/>
    <col min="9450" max="9686" width="9.140625" style="3"/>
    <col min="9687" max="9687" width="27.140625" style="3" bestFit="1" customWidth="1"/>
    <col min="9688" max="9688" width="12" style="3" customWidth="1"/>
    <col min="9689" max="9689" width="11" style="3" customWidth="1"/>
    <col min="9690" max="9690" width="8" style="3" customWidth="1"/>
    <col min="9691" max="9691" width="8.5703125" style="3" customWidth="1"/>
    <col min="9692" max="9692" width="10.28515625" style="3" customWidth="1"/>
    <col min="9693" max="9693" width="9.28515625" style="3" customWidth="1"/>
    <col min="9694" max="9694" width="9" style="3" customWidth="1"/>
    <col min="9695" max="9695" width="9.7109375" style="3" customWidth="1"/>
    <col min="9696" max="9696" width="10.5703125" style="3" customWidth="1"/>
    <col min="9697" max="9697" width="9.42578125" style="3" customWidth="1"/>
    <col min="9698" max="9698" width="9.5703125" style="3" customWidth="1"/>
    <col min="9699" max="9699" width="11.5703125" style="3" customWidth="1"/>
    <col min="9700" max="9700" width="10.28515625" style="3" customWidth="1"/>
    <col min="9701" max="9701" width="9.5703125" style="3" customWidth="1"/>
    <col min="9702" max="9702" width="11.7109375" style="3" customWidth="1"/>
    <col min="9703" max="9703" width="10.85546875" style="3" customWidth="1"/>
    <col min="9704" max="9704" width="15.28515625" style="3" customWidth="1"/>
    <col min="9705" max="9705" width="10" style="3" customWidth="1"/>
    <col min="9706" max="9942" width="9.140625" style="3"/>
    <col min="9943" max="9943" width="27.140625" style="3" bestFit="1" customWidth="1"/>
    <col min="9944" max="9944" width="12" style="3" customWidth="1"/>
    <col min="9945" max="9945" width="11" style="3" customWidth="1"/>
    <col min="9946" max="9946" width="8" style="3" customWidth="1"/>
    <col min="9947" max="9947" width="8.5703125" style="3" customWidth="1"/>
    <col min="9948" max="9948" width="10.28515625" style="3" customWidth="1"/>
    <col min="9949" max="9949" width="9.28515625" style="3" customWidth="1"/>
    <col min="9950" max="9950" width="9" style="3" customWidth="1"/>
    <col min="9951" max="9951" width="9.7109375" style="3" customWidth="1"/>
    <col min="9952" max="9952" width="10.5703125" style="3" customWidth="1"/>
    <col min="9953" max="9953" width="9.42578125" style="3" customWidth="1"/>
    <col min="9954" max="9954" width="9.5703125" style="3" customWidth="1"/>
    <col min="9955" max="9955" width="11.5703125" style="3" customWidth="1"/>
    <col min="9956" max="9956" width="10.28515625" style="3" customWidth="1"/>
    <col min="9957" max="9957" width="9.5703125" style="3" customWidth="1"/>
    <col min="9958" max="9958" width="11.7109375" style="3" customWidth="1"/>
    <col min="9959" max="9959" width="10.85546875" style="3" customWidth="1"/>
    <col min="9960" max="9960" width="15.28515625" style="3" customWidth="1"/>
    <col min="9961" max="9961" width="10" style="3" customWidth="1"/>
    <col min="9962" max="10198" width="9.140625" style="3"/>
    <col min="10199" max="10199" width="27.140625" style="3" bestFit="1" customWidth="1"/>
    <col min="10200" max="10200" width="12" style="3" customWidth="1"/>
    <col min="10201" max="10201" width="11" style="3" customWidth="1"/>
    <col min="10202" max="10202" width="8" style="3" customWidth="1"/>
    <col min="10203" max="10203" width="8.5703125" style="3" customWidth="1"/>
    <col min="10204" max="10204" width="10.28515625" style="3" customWidth="1"/>
    <col min="10205" max="10205" width="9.28515625" style="3" customWidth="1"/>
    <col min="10206" max="10206" width="9" style="3" customWidth="1"/>
    <col min="10207" max="10207" width="9.7109375" style="3" customWidth="1"/>
    <col min="10208" max="10208" width="10.5703125" style="3" customWidth="1"/>
    <col min="10209" max="10209" width="9.42578125" style="3" customWidth="1"/>
    <col min="10210" max="10210" width="9.5703125" style="3" customWidth="1"/>
    <col min="10211" max="10211" width="11.5703125" style="3" customWidth="1"/>
    <col min="10212" max="10212" width="10.28515625" style="3" customWidth="1"/>
    <col min="10213" max="10213" width="9.5703125" style="3" customWidth="1"/>
    <col min="10214" max="10214" width="11.7109375" style="3" customWidth="1"/>
    <col min="10215" max="10215" width="10.85546875" style="3" customWidth="1"/>
    <col min="10216" max="10216" width="15.28515625" style="3" customWidth="1"/>
    <col min="10217" max="10217" width="10" style="3" customWidth="1"/>
    <col min="10218" max="10454" width="9.140625" style="3"/>
    <col min="10455" max="10455" width="27.140625" style="3" bestFit="1" customWidth="1"/>
    <col min="10456" max="10456" width="12" style="3" customWidth="1"/>
    <col min="10457" max="10457" width="11" style="3" customWidth="1"/>
    <col min="10458" max="10458" width="8" style="3" customWidth="1"/>
    <col min="10459" max="10459" width="8.5703125" style="3" customWidth="1"/>
    <col min="10460" max="10460" width="10.28515625" style="3" customWidth="1"/>
    <col min="10461" max="10461" width="9.28515625" style="3" customWidth="1"/>
    <col min="10462" max="10462" width="9" style="3" customWidth="1"/>
    <col min="10463" max="10463" width="9.7109375" style="3" customWidth="1"/>
    <col min="10464" max="10464" width="10.5703125" style="3" customWidth="1"/>
    <col min="10465" max="10465" width="9.42578125" style="3" customWidth="1"/>
    <col min="10466" max="10466" width="9.5703125" style="3" customWidth="1"/>
    <col min="10467" max="10467" width="11.5703125" style="3" customWidth="1"/>
    <col min="10468" max="10468" width="10.28515625" style="3" customWidth="1"/>
    <col min="10469" max="10469" width="9.5703125" style="3" customWidth="1"/>
    <col min="10470" max="10470" width="11.7109375" style="3" customWidth="1"/>
    <col min="10471" max="10471" width="10.85546875" style="3" customWidth="1"/>
    <col min="10472" max="10472" width="15.28515625" style="3" customWidth="1"/>
    <col min="10473" max="10473" width="10" style="3" customWidth="1"/>
    <col min="10474" max="10710" width="9.140625" style="3"/>
    <col min="10711" max="10711" width="27.140625" style="3" bestFit="1" customWidth="1"/>
    <col min="10712" max="10712" width="12" style="3" customWidth="1"/>
    <col min="10713" max="10713" width="11" style="3" customWidth="1"/>
    <col min="10714" max="10714" width="8" style="3" customWidth="1"/>
    <col min="10715" max="10715" width="8.5703125" style="3" customWidth="1"/>
    <col min="10716" max="10716" width="10.28515625" style="3" customWidth="1"/>
    <col min="10717" max="10717" width="9.28515625" style="3" customWidth="1"/>
    <col min="10718" max="10718" width="9" style="3" customWidth="1"/>
    <col min="10719" max="10719" width="9.7109375" style="3" customWidth="1"/>
    <col min="10720" max="10720" width="10.5703125" style="3" customWidth="1"/>
    <col min="10721" max="10721" width="9.42578125" style="3" customWidth="1"/>
    <col min="10722" max="10722" width="9.5703125" style="3" customWidth="1"/>
    <col min="10723" max="10723" width="11.5703125" style="3" customWidth="1"/>
    <col min="10724" max="10724" width="10.28515625" style="3" customWidth="1"/>
    <col min="10725" max="10725" width="9.5703125" style="3" customWidth="1"/>
    <col min="10726" max="10726" width="11.7109375" style="3" customWidth="1"/>
    <col min="10727" max="10727" width="10.85546875" style="3" customWidth="1"/>
    <col min="10728" max="10728" width="15.28515625" style="3" customWidth="1"/>
    <col min="10729" max="10729" width="10" style="3" customWidth="1"/>
    <col min="10730" max="10966" width="9.140625" style="3"/>
    <col min="10967" max="10967" width="27.140625" style="3" bestFit="1" customWidth="1"/>
    <col min="10968" max="10968" width="12" style="3" customWidth="1"/>
    <col min="10969" max="10969" width="11" style="3" customWidth="1"/>
    <col min="10970" max="10970" width="8" style="3" customWidth="1"/>
    <col min="10971" max="10971" width="8.5703125" style="3" customWidth="1"/>
    <col min="10972" max="10972" width="10.28515625" style="3" customWidth="1"/>
    <col min="10973" max="10973" width="9.28515625" style="3" customWidth="1"/>
    <col min="10974" max="10974" width="9" style="3" customWidth="1"/>
    <col min="10975" max="10975" width="9.7109375" style="3" customWidth="1"/>
    <col min="10976" max="10976" width="10.5703125" style="3" customWidth="1"/>
    <col min="10977" max="10977" width="9.42578125" style="3" customWidth="1"/>
    <col min="10978" max="10978" width="9.5703125" style="3" customWidth="1"/>
    <col min="10979" max="10979" width="11.5703125" style="3" customWidth="1"/>
    <col min="10980" max="10980" width="10.28515625" style="3" customWidth="1"/>
    <col min="10981" max="10981" width="9.5703125" style="3" customWidth="1"/>
    <col min="10982" max="10982" width="11.7109375" style="3" customWidth="1"/>
    <col min="10983" max="10983" width="10.85546875" style="3" customWidth="1"/>
    <col min="10984" max="10984" width="15.28515625" style="3" customWidth="1"/>
    <col min="10985" max="10985" width="10" style="3" customWidth="1"/>
    <col min="10986" max="11222" width="9.140625" style="3"/>
    <col min="11223" max="11223" width="27.140625" style="3" bestFit="1" customWidth="1"/>
    <col min="11224" max="11224" width="12" style="3" customWidth="1"/>
    <col min="11225" max="11225" width="11" style="3" customWidth="1"/>
    <col min="11226" max="11226" width="8" style="3" customWidth="1"/>
    <col min="11227" max="11227" width="8.5703125" style="3" customWidth="1"/>
    <col min="11228" max="11228" width="10.28515625" style="3" customWidth="1"/>
    <col min="11229" max="11229" width="9.28515625" style="3" customWidth="1"/>
    <col min="11230" max="11230" width="9" style="3" customWidth="1"/>
    <col min="11231" max="11231" width="9.7109375" style="3" customWidth="1"/>
    <col min="11232" max="11232" width="10.5703125" style="3" customWidth="1"/>
    <col min="11233" max="11233" width="9.42578125" style="3" customWidth="1"/>
    <col min="11234" max="11234" width="9.5703125" style="3" customWidth="1"/>
    <col min="11235" max="11235" width="11.5703125" style="3" customWidth="1"/>
    <col min="11236" max="11236" width="10.28515625" style="3" customWidth="1"/>
    <col min="11237" max="11237" width="9.5703125" style="3" customWidth="1"/>
    <col min="11238" max="11238" width="11.7109375" style="3" customWidth="1"/>
    <col min="11239" max="11239" width="10.85546875" style="3" customWidth="1"/>
    <col min="11240" max="11240" width="15.28515625" style="3" customWidth="1"/>
    <col min="11241" max="11241" width="10" style="3" customWidth="1"/>
    <col min="11242" max="11478" width="9.140625" style="3"/>
    <col min="11479" max="11479" width="27.140625" style="3" bestFit="1" customWidth="1"/>
    <col min="11480" max="11480" width="12" style="3" customWidth="1"/>
    <col min="11481" max="11481" width="11" style="3" customWidth="1"/>
    <col min="11482" max="11482" width="8" style="3" customWidth="1"/>
    <col min="11483" max="11483" width="8.5703125" style="3" customWidth="1"/>
    <col min="11484" max="11484" width="10.28515625" style="3" customWidth="1"/>
    <col min="11485" max="11485" width="9.28515625" style="3" customWidth="1"/>
    <col min="11486" max="11486" width="9" style="3" customWidth="1"/>
    <col min="11487" max="11487" width="9.7109375" style="3" customWidth="1"/>
    <col min="11488" max="11488" width="10.5703125" style="3" customWidth="1"/>
    <col min="11489" max="11489" width="9.42578125" style="3" customWidth="1"/>
    <col min="11490" max="11490" width="9.5703125" style="3" customWidth="1"/>
    <col min="11491" max="11491" width="11.5703125" style="3" customWidth="1"/>
    <col min="11492" max="11492" width="10.28515625" style="3" customWidth="1"/>
    <col min="11493" max="11493" width="9.5703125" style="3" customWidth="1"/>
    <col min="11494" max="11494" width="11.7109375" style="3" customWidth="1"/>
    <col min="11495" max="11495" width="10.85546875" style="3" customWidth="1"/>
    <col min="11496" max="11496" width="15.28515625" style="3" customWidth="1"/>
    <col min="11497" max="11497" width="10" style="3" customWidth="1"/>
    <col min="11498" max="11734" width="9.140625" style="3"/>
    <col min="11735" max="11735" width="27.140625" style="3" bestFit="1" customWidth="1"/>
    <col min="11736" max="11736" width="12" style="3" customWidth="1"/>
    <col min="11737" max="11737" width="11" style="3" customWidth="1"/>
    <col min="11738" max="11738" width="8" style="3" customWidth="1"/>
    <col min="11739" max="11739" width="8.5703125" style="3" customWidth="1"/>
    <col min="11740" max="11740" width="10.28515625" style="3" customWidth="1"/>
    <col min="11741" max="11741" width="9.28515625" style="3" customWidth="1"/>
    <col min="11742" max="11742" width="9" style="3" customWidth="1"/>
    <col min="11743" max="11743" width="9.7109375" style="3" customWidth="1"/>
    <col min="11744" max="11744" width="10.5703125" style="3" customWidth="1"/>
    <col min="11745" max="11745" width="9.42578125" style="3" customWidth="1"/>
    <col min="11746" max="11746" width="9.5703125" style="3" customWidth="1"/>
    <col min="11747" max="11747" width="11.5703125" style="3" customWidth="1"/>
    <col min="11748" max="11748" width="10.28515625" style="3" customWidth="1"/>
    <col min="11749" max="11749" width="9.5703125" style="3" customWidth="1"/>
    <col min="11750" max="11750" width="11.7109375" style="3" customWidth="1"/>
    <col min="11751" max="11751" width="10.85546875" style="3" customWidth="1"/>
    <col min="11752" max="11752" width="15.28515625" style="3" customWidth="1"/>
    <col min="11753" max="11753" width="10" style="3" customWidth="1"/>
    <col min="11754" max="11990" width="9.140625" style="3"/>
    <col min="11991" max="11991" width="27.140625" style="3" bestFit="1" customWidth="1"/>
    <col min="11992" max="11992" width="12" style="3" customWidth="1"/>
    <col min="11993" max="11993" width="11" style="3" customWidth="1"/>
    <col min="11994" max="11994" width="8" style="3" customWidth="1"/>
    <col min="11995" max="11995" width="8.5703125" style="3" customWidth="1"/>
    <col min="11996" max="11996" width="10.28515625" style="3" customWidth="1"/>
    <col min="11997" max="11997" width="9.28515625" style="3" customWidth="1"/>
    <col min="11998" max="11998" width="9" style="3" customWidth="1"/>
    <col min="11999" max="11999" width="9.7109375" style="3" customWidth="1"/>
    <col min="12000" max="12000" width="10.5703125" style="3" customWidth="1"/>
    <col min="12001" max="12001" width="9.42578125" style="3" customWidth="1"/>
    <col min="12002" max="12002" width="9.5703125" style="3" customWidth="1"/>
    <col min="12003" max="12003" width="11.5703125" style="3" customWidth="1"/>
    <col min="12004" max="12004" width="10.28515625" style="3" customWidth="1"/>
    <col min="12005" max="12005" width="9.5703125" style="3" customWidth="1"/>
    <col min="12006" max="12006" width="11.7109375" style="3" customWidth="1"/>
    <col min="12007" max="12007" width="10.85546875" style="3" customWidth="1"/>
    <col min="12008" max="12008" width="15.28515625" style="3" customWidth="1"/>
    <col min="12009" max="12009" width="10" style="3" customWidth="1"/>
    <col min="12010" max="12246" width="9.140625" style="3"/>
    <col min="12247" max="12247" width="27.140625" style="3" bestFit="1" customWidth="1"/>
    <col min="12248" max="12248" width="12" style="3" customWidth="1"/>
    <col min="12249" max="12249" width="11" style="3" customWidth="1"/>
    <col min="12250" max="12250" width="8" style="3" customWidth="1"/>
    <col min="12251" max="12251" width="8.5703125" style="3" customWidth="1"/>
    <col min="12252" max="12252" width="10.28515625" style="3" customWidth="1"/>
    <col min="12253" max="12253" width="9.28515625" style="3" customWidth="1"/>
    <col min="12254" max="12254" width="9" style="3" customWidth="1"/>
    <col min="12255" max="12255" width="9.7109375" style="3" customWidth="1"/>
    <col min="12256" max="12256" width="10.5703125" style="3" customWidth="1"/>
    <col min="12257" max="12257" width="9.42578125" style="3" customWidth="1"/>
    <col min="12258" max="12258" width="9.5703125" style="3" customWidth="1"/>
    <col min="12259" max="12259" width="11.5703125" style="3" customWidth="1"/>
    <col min="12260" max="12260" width="10.28515625" style="3" customWidth="1"/>
    <col min="12261" max="12261" width="9.5703125" style="3" customWidth="1"/>
    <col min="12262" max="12262" width="11.7109375" style="3" customWidth="1"/>
    <col min="12263" max="12263" width="10.85546875" style="3" customWidth="1"/>
    <col min="12264" max="12264" width="15.28515625" style="3" customWidth="1"/>
    <col min="12265" max="12265" width="10" style="3" customWidth="1"/>
    <col min="12266" max="12502" width="9.140625" style="3"/>
    <col min="12503" max="12503" width="27.140625" style="3" bestFit="1" customWidth="1"/>
    <col min="12504" max="12504" width="12" style="3" customWidth="1"/>
    <col min="12505" max="12505" width="11" style="3" customWidth="1"/>
    <col min="12506" max="12506" width="8" style="3" customWidth="1"/>
    <col min="12507" max="12507" width="8.5703125" style="3" customWidth="1"/>
    <col min="12508" max="12508" width="10.28515625" style="3" customWidth="1"/>
    <col min="12509" max="12509" width="9.28515625" style="3" customWidth="1"/>
    <col min="12510" max="12510" width="9" style="3" customWidth="1"/>
    <col min="12511" max="12511" width="9.7109375" style="3" customWidth="1"/>
    <col min="12512" max="12512" width="10.5703125" style="3" customWidth="1"/>
    <col min="12513" max="12513" width="9.42578125" style="3" customWidth="1"/>
    <col min="12514" max="12514" width="9.5703125" style="3" customWidth="1"/>
    <col min="12515" max="12515" width="11.5703125" style="3" customWidth="1"/>
    <col min="12516" max="12516" width="10.28515625" style="3" customWidth="1"/>
    <col min="12517" max="12517" width="9.5703125" style="3" customWidth="1"/>
    <col min="12518" max="12518" width="11.7109375" style="3" customWidth="1"/>
    <col min="12519" max="12519" width="10.85546875" style="3" customWidth="1"/>
    <col min="12520" max="12520" width="15.28515625" style="3" customWidth="1"/>
    <col min="12521" max="12521" width="10" style="3" customWidth="1"/>
    <col min="12522" max="12758" width="9.140625" style="3"/>
    <col min="12759" max="12759" width="27.140625" style="3" bestFit="1" customWidth="1"/>
    <col min="12760" max="12760" width="12" style="3" customWidth="1"/>
    <col min="12761" max="12761" width="11" style="3" customWidth="1"/>
    <col min="12762" max="12762" width="8" style="3" customWidth="1"/>
    <col min="12763" max="12763" width="8.5703125" style="3" customWidth="1"/>
    <col min="12764" max="12764" width="10.28515625" style="3" customWidth="1"/>
    <col min="12765" max="12765" width="9.28515625" style="3" customWidth="1"/>
    <col min="12766" max="12766" width="9" style="3" customWidth="1"/>
    <col min="12767" max="12767" width="9.7109375" style="3" customWidth="1"/>
    <col min="12768" max="12768" width="10.5703125" style="3" customWidth="1"/>
    <col min="12769" max="12769" width="9.42578125" style="3" customWidth="1"/>
    <col min="12770" max="12770" width="9.5703125" style="3" customWidth="1"/>
    <col min="12771" max="12771" width="11.5703125" style="3" customWidth="1"/>
    <col min="12772" max="12772" width="10.28515625" style="3" customWidth="1"/>
    <col min="12773" max="12773" width="9.5703125" style="3" customWidth="1"/>
    <col min="12774" max="12774" width="11.7109375" style="3" customWidth="1"/>
    <col min="12775" max="12775" width="10.85546875" style="3" customWidth="1"/>
    <col min="12776" max="12776" width="15.28515625" style="3" customWidth="1"/>
    <col min="12777" max="12777" width="10" style="3" customWidth="1"/>
    <col min="12778" max="13014" width="9.140625" style="3"/>
    <col min="13015" max="13015" width="27.140625" style="3" bestFit="1" customWidth="1"/>
    <col min="13016" max="13016" width="12" style="3" customWidth="1"/>
    <col min="13017" max="13017" width="11" style="3" customWidth="1"/>
    <col min="13018" max="13018" width="8" style="3" customWidth="1"/>
    <col min="13019" max="13019" width="8.5703125" style="3" customWidth="1"/>
    <col min="13020" max="13020" width="10.28515625" style="3" customWidth="1"/>
    <col min="13021" max="13021" width="9.28515625" style="3" customWidth="1"/>
    <col min="13022" max="13022" width="9" style="3" customWidth="1"/>
    <col min="13023" max="13023" width="9.7109375" style="3" customWidth="1"/>
    <col min="13024" max="13024" width="10.5703125" style="3" customWidth="1"/>
    <col min="13025" max="13025" width="9.42578125" style="3" customWidth="1"/>
    <col min="13026" max="13026" width="9.5703125" style="3" customWidth="1"/>
    <col min="13027" max="13027" width="11.5703125" style="3" customWidth="1"/>
    <col min="13028" max="13028" width="10.28515625" style="3" customWidth="1"/>
    <col min="13029" max="13029" width="9.5703125" style="3" customWidth="1"/>
    <col min="13030" max="13030" width="11.7109375" style="3" customWidth="1"/>
    <col min="13031" max="13031" width="10.85546875" style="3" customWidth="1"/>
    <col min="13032" max="13032" width="15.28515625" style="3" customWidth="1"/>
    <col min="13033" max="13033" width="10" style="3" customWidth="1"/>
    <col min="13034" max="13270" width="9.140625" style="3"/>
    <col min="13271" max="13271" width="27.140625" style="3" bestFit="1" customWidth="1"/>
    <col min="13272" max="13272" width="12" style="3" customWidth="1"/>
    <col min="13273" max="13273" width="11" style="3" customWidth="1"/>
    <col min="13274" max="13274" width="8" style="3" customWidth="1"/>
    <col min="13275" max="13275" width="8.5703125" style="3" customWidth="1"/>
    <col min="13276" max="13276" width="10.28515625" style="3" customWidth="1"/>
    <col min="13277" max="13277" width="9.28515625" style="3" customWidth="1"/>
    <col min="13278" max="13278" width="9" style="3" customWidth="1"/>
    <col min="13279" max="13279" width="9.7109375" style="3" customWidth="1"/>
    <col min="13280" max="13280" width="10.5703125" style="3" customWidth="1"/>
    <col min="13281" max="13281" width="9.42578125" style="3" customWidth="1"/>
    <col min="13282" max="13282" width="9.5703125" style="3" customWidth="1"/>
    <col min="13283" max="13283" width="11.5703125" style="3" customWidth="1"/>
    <col min="13284" max="13284" width="10.28515625" style="3" customWidth="1"/>
    <col min="13285" max="13285" width="9.5703125" style="3" customWidth="1"/>
    <col min="13286" max="13286" width="11.7109375" style="3" customWidth="1"/>
    <col min="13287" max="13287" width="10.85546875" style="3" customWidth="1"/>
    <col min="13288" max="13288" width="15.28515625" style="3" customWidth="1"/>
    <col min="13289" max="13289" width="10" style="3" customWidth="1"/>
    <col min="13290" max="13526" width="9.140625" style="3"/>
    <col min="13527" max="13527" width="27.140625" style="3" bestFit="1" customWidth="1"/>
    <col min="13528" max="13528" width="12" style="3" customWidth="1"/>
    <col min="13529" max="13529" width="11" style="3" customWidth="1"/>
    <col min="13530" max="13530" width="8" style="3" customWidth="1"/>
    <col min="13531" max="13531" width="8.5703125" style="3" customWidth="1"/>
    <col min="13532" max="13532" width="10.28515625" style="3" customWidth="1"/>
    <col min="13533" max="13533" width="9.28515625" style="3" customWidth="1"/>
    <col min="13534" max="13534" width="9" style="3" customWidth="1"/>
    <col min="13535" max="13535" width="9.7109375" style="3" customWidth="1"/>
    <col min="13536" max="13536" width="10.5703125" style="3" customWidth="1"/>
    <col min="13537" max="13537" width="9.42578125" style="3" customWidth="1"/>
    <col min="13538" max="13538" width="9.5703125" style="3" customWidth="1"/>
    <col min="13539" max="13539" width="11.5703125" style="3" customWidth="1"/>
    <col min="13540" max="13540" width="10.28515625" style="3" customWidth="1"/>
    <col min="13541" max="13541" width="9.5703125" style="3" customWidth="1"/>
    <col min="13542" max="13542" width="11.7109375" style="3" customWidth="1"/>
    <col min="13543" max="13543" width="10.85546875" style="3" customWidth="1"/>
    <col min="13544" max="13544" width="15.28515625" style="3" customWidth="1"/>
    <col min="13545" max="13545" width="10" style="3" customWidth="1"/>
    <col min="13546" max="13782" width="9.140625" style="3"/>
    <col min="13783" max="13783" width="27.140625" style="3" bestFit="1" customWidth="1"/>
    <col min="13784" max="13784" width="12" style="3" customWidth="1"/>
    <col min="13785" max="13785" width="11" style="3" customWidth="1"/>
    <col min="13786" max="13786" width="8" style="3" customWidth="1"/>
    <col min="13787" max="13787" width="8.5703125" style="3" customWidth="1"/>
    <col min="13788" max="13788" width="10.28515625" style="3" customWidth="1"/>
    <col min="13789" max="13789" width="9.28515625" style="3" customWidth="1"/>
    <col min="13790" max="13790" width="9" style="3" customWidth="1"/>
    <col min="13791" max="13791" width="9.7109375" style="3" customWidth="1"/>
    <col min="13792" max="13792" width="10.5703125" style="3" customWidth="1"/>
    <col min="13793" max="13793" width="9.42578125" style="3" customWidth="1"/>
    <col min="13794" max="13794" width="9.5703125" style="3" customWidth="1"/>
    <col min="13795" max="13795" width="11.5703125" style="3" customWidth="1"/>
    <col min="13796" max="13796" width="10.28515625" style="3" customWidth="1"/>
    <col min="13797" max="13797" width="9.5703125" style="3" customWidth="1"/>
    <col min="13798" max="13798" width="11.7109375" style="3" customWidth="1"/>
    <col min="13799" max="13799" width="10.85546875" style="3" customWidth="1"/>
    <col min="13800" max="13800" width="15.28515625" style="3" customWidth="1"/>
    <col min="13801" max="13801" width="10" style="3" customWidth="1"/>
    <col min="13802" max="14038" width="9.140625" style="3"/>
    <col min="14039" max="14039" width="27.140625" style="3" bestFit="1" customWidth="1"/>
    <col min="14040" max="14040" width="12" style="3" customWidth="1"/>
    <col min="14041" max="14041" width="11" style="3" customWidth="1"/>
    <col min="14042" max="14042" width="8" style="3" customWidth="1"/>
    <col min="14043" max="14043" width="8.5703125" style="3" customWidth="1"/>
    <col min="14044" max="14044" width="10.28515625" style="3" customWidth="1"/>
    <col min="14045" max="14045" width="9.28515625" style="3" customWidth="1"/>
    <col min="14046" max="14046" width="9" style="3" customWidth="1"/>
    <col min="14047" max="14047" width="9.7109375" style="3" customWidth="1"/>
    <col min="14048" max="14048" width="10.5703125" style="3" customWidth="1"/>
    <col min="14049" max="14049" width="9.42578125" style="3" customWidth="1"/>
    <col min="14050" max="14050" width="9.5703125" style="3" customWidth="1"/>
    <col min="14051" max="14051" width="11.5703125" style="3" customWidth="1"/>
    <col min="14052" max="14052" width="10.28515625" style="3" customWidth="1"/>
    <col min="14053" max="14053" width="9.5703125" style="3" customWidth="1"/>
    <col min="14054" max="14054" width="11.7109375" style="3" customWidth="1"/>
    <col min="14055" max="14055" width="10.85546875" style="3" customWidth="1"/>
    <col min="14056" max="14056" width="15.28515625" style="3" customWidth="1"/>
    <col min="14057" max="14057" width="10" style="3" customWidth="1"/>
    <col min="14058" max="14294" width="9.140625" style="3"/>
    <col min="14295" max="14295" width="27.140625" style="3" bestFit="1" customWidth="1"/>
    <col min="14296" max="14296" width="12" style="3" customWidth="1"/>
    <col min="14297" max="14297" width="11" style="3" customWidth="1"/>
    <col min="14298" max="14298" width="8" style="3" customWidth="1"/>
    <col min="14299" max="14299" width="8.5703125" style="3" customWidth="1"/>
    <col min="14300" max="14300" width="10.28515625" style="3" customWidth="1"/>
    <col min="14301" max="14301" width="9.28515625" style="3" customWidth="1"/>
    <col min="14302" max="14302" width="9" style="3" customWidth="1"/>
    <col min="14303" max="14303" width="9.7109375" style="3" customWidth="1"/>
    <col min="14304" max="14304" width="10.5703125" style="3" customWidth="1"/>
    <col min="14305" max="14305" width="9.42578125" style="3" customWidth="1"/>
    <col min="14306" max="14306" width="9.5703125" style="3" customWidth="1"/>
    <col min="14307" max="14307" width="11.5703125" style="3" customWidth="1"/>
    <col min="14308" max="14308" width="10.28515625" style="3" customWidth="1"/>
    <col min="14309" max="14309" width="9.5703125" style="3" customWidth="1"/>
    <col min="14310" max="14310" width="11.7109375" style="3" customWidth="1"/>
    <col min="14311" max="14311" width="10.85546875" style="3" customWidth="1"/>
    <col min="14312" max="14312" width="15.28515625" style="3" customWidth="1"/>
    <col min="14313" max="14313" width="10" style="3" customWidth="1"/>
    <col min="14314" max="14550" width="9.140625" style="3"/>
    <col min="14551" max="14551" width="27.140625" style="3" bestFit="1" customWidth="1"/>
    <col min="14552" max="14552" width="12" style="3" customWidth="1"/>
    <col min="14553" max="14553" width="11" style="3" customWidth="1"/>
    <col min="14554" max="14554" width="8" style="3" customWidth="1"/>
    <col min="14555" max="14555" width="8.5703125" style="3" customWidth="1"/>
    <col min="14556" max="14556" width="10.28515625" style="3" customWidth="1"/>
    <col min="14557" max="14557" width="9.28515625" style="3" customWidth="1"/>
    <col min="14558" max="14558" width="9" style="3" customWidth="1"/>
    <col min="14559" max="14559" width="9.7109375" style="3" customWidth="1"/>
    <col min="14560" max="14560" width="10.5703125" style="3" customWidth="1"/>
    <col min="14561" max="14561" width="9.42578125" style="3" customWidth="1"/>
    <col min="14562" max="14562" width="9.5703125" style="3" customWidth="1"/>
    <col min="14563" max="14563" width="11.5703125" style="3" customWidth="1"/>
    <col min="14564" max="14564" width="10.28515625" style="3" customWidth="1"/>
    <col min="14565" max="14565" width="9.5703125" style="3" customWidth="1"/>
    <col min="14566" max="14566" width="11.7109375" style="3" customWidth="1"/>
    <col min="14567" max="14567" width="10.85546875" style="3" customWidth="1"/>
    <col min="14568" max="14568" width="15.28515625" style="3" customWidth="1"/>
    <col min="14569" max="14569" width="10" style="3" customWidth="1"/>
    <col min="14570" max="14806" width="9.140625" style="3"/>
    <col min="14807" max="14807" width="27.140625" style="3" bestFit="1" customWidth="1"/>
    <col min="14808" max="14808" width="12" style="3" customWidth="1"/>
    <col min="14809" max="14809" width="11" style="3" customWidth="1"/>
    <col min="14810" max="14810" width="8" style="3" customWidth="1"/>
    <col min="14811" max="14811" width="8.5703125" style="3" customWidth="1"/>
    <col min="14812" max="14812" width="10.28515625" style="3" customWidth="1"/>
    <col min="14813" max="14813" width="9.28515625" style="3" customWidth="1"/>
    <col min="14814" max="14814" width="9" style="3" customWidth="1"/>
    <col min="14815" max="14815" width="9.7109375" style="3" customWidth="1"/>
    <col min="14816" max="14816" width="10.5703125" style="3" customWidth="1"/>
    <col min="14817" max="14817" width="9.42578125" style="3" customWidth="1"/>
    <col min="14818" max="14818" width="9.5703125" style="3" customWidth="1"/>
    <col min="14819" max="14819" width="11.5703125" style="3" customWidth="1"/>
    <col min="14820" max="14820" width="10.28515625" style="3" customWidth="1"/>
    <col min="14821" max="14821" width="9.5703125" style="3" customWidth="1"/>
    <col min="14822" max="14822" width="11.7109375" style="3" customWidth="1"/>
    <col min="14823" max="14823" width="10.85546875" style="3" customWidth="1"/>
    <col min="14824" max="14824" width="15.28515625" style="3" customWidth="1"/>
    <col min="14825" max="14825" width="10" style="3" customWidth="1"/>
    <col min="14826" max="15062" width="9.140625" style="3"/>
    <col min="15063" max="15063" width="27.140625" style="3" bestFit="1" customWidth="1"/>
    <col min="15064" max="15064" width="12" style="3" customWidth="1"/>
    <col min="15065" max="15065" width="11" style="3" customWidth="1"/>
    <col min="15066" max="15066" width="8" style="3" customWidth="1"/>
    <col min="15067" max="15067" width="8.5703125" style="3" customWidth="1"/>
    <col min="15068" max="15068" width="10.28515625" style="3" customWidth="1"/>
    <col min="15069" max="15069" width="9.28515625" style="3" customWidth="1"/>
    <col min="15070" max="15070" width="9" style="3" customWidth="1"/>
    <col min="15071" max="15071" width="9.7109375" style="3" customWidth="1"/>
    <col min="15072" max="15072" width="10.5703125" style="3" customWidth="1"/>
    <col min="15073" max="15073" width="9.42578125" style="3" customWidth="1"/>
    <col min="15074" max="15074" width="9.5703125" style="3" customWidth="1"/>
    <col min="15075" max="15075" width="11.5703125" style="3" customWidth="1"/>
    <col min="15076" max="15076" width="10.28515625" style="3" customWidth="1"/>
    <col min="15077" max="15077" width="9.5703125" style="3" customWidth="1"/>
    <col min="15078" max="15078" width="11.7109375" style="3" customWidth="1"/>
    <col min="15079" max="15079" width="10.85546875" style="3" customWidth="1"/>
    <col min="15080" max="15080" width="15.28515625" style="3" customWidth="1"/>
    <col min="15081" max="15081" width="10" style="3" customWidth="1"/>
    <col min="15082" max="15318" width="9.140625" style="3"/>
    <col min="15319" max="15319" width="27.140625" style="3" bestFit="1" customWidth="1"/>
    <col min="15320" max="15320" width="12" style="3" customWidth="1"/>
    <col min="15321" max="15321" width="11" style="3" customWidth="1"/>
    <col min="15322" max="15322" width="8" style="3" customWidth="1"/>
    <col min="15323" max="15323" width="8.5703125" style="3" customWidth="1"/>
    <col min="15324" max="15324" width="10.28515625" style="3" customWidth="1"/>
    <col min="15325" max="15325" width="9.28515625" style="3" customWidth="1"/>
    <col min="15326" max="15326" width="9" style="3" customWidth="1"/>
    <col min="15327" max="15327" width="9.7109375" style="3" customWidth="1"/>
    <col min="15328" max="15328" width="10.5703125" style="3" customWidth="1"/>
    <col min="15329" max="15329" width="9.42578125" style="3" customWidth="1"/>
    <col min="15330" max="15330" width="9.5703125" style="3" customWidth="1"/>
    <col min="15331" max="15331" width="11.5703125" style="3" customWidth="1"/>
    <col min="15332" max="15332" width="10.28515625" style="3" customWidth="1"/>
    <col min="15333" max="15333" width="9.5703125" style="3" customWidth="1"/>
    <col min="15334" max="15334" width="11.7109375" style="3" customWidth="1"/>
    <col min="15335" max="15335" width="10.85546875" style="3" customWidth="1"/>
    <col min="15336" max="15336" width="15.28515625" style="3" customWidth="1"/>
    <col min="15337" max="15337" width="10" style="3" customWidth="1"/>
    <col min="15338" max="15574" width="9.140625" style="3"/>
    <col min="15575" max="15575" width="27.140625" style="3" bestFit="1" customWidth="1"/>
    <col min="15576" max="15576" width="12" style="3" customWidth="1"/>
    <col min="15577" max="15577" width="11" style="3" customWidth="1"/>
    <col min="15578" max="15578" width="8" style="3" customWidth="1"/>
    <col min="15579" max="15579" width="8.5703125" style="3" customWidth="1"/>
    <col min="15580" max="15580" width="10.28515625" style="3" customWidth="1"/>
    <col min="15581" max="15581" width="9.28515625" style="3" customWidth="1"/>
    <col min="15582" max="15582" width="9" style="3" customWidth="1"/>
    <col min="15583" max="15583" width="9.7109375" style="3" customWidth="1"/>
    <col min="15584" max="15584" width="10.5703125" style="3" customWidth="1"/>
    <col min="15585" max="15585" width="9.42578125" style="3" customWidth="1"/>
    <col min="15586" max="15586" width="9.5703125" style="3" customWidth="1"/>
    <col min="15587" max="15587" width="11.5703125" style="3" customWidth="1"/>
    <col min="15588" max="15588" width="10.28515625" style="3" customWidth="1"/>
    <col min="15589" max="15589" width="9.5703125" style="3" customWidth="1"/>
    <col min="15590" max="15590" width="11.7109375" style="3" customWidth="1"/>
    <col min="15591" max="15591" width="10.85546875" style="3" customWidth="1"/>
    <col min="15592" max="15592" width="15.28515625" style="3" customWidth="1"/>
    <col min="15593" max="15593" width="10" style="3" customWidth="1"/>
    <col min="15594" max="15830" width="9.140625" style="3"/>
    <col min="15831" max="15831" width="27.140625" style="3" bestFit="1" customWidth="1"/>
    <col min="15832" max="15832" width="12" style="3" customWidth="1"/>
    <col min="15833" max="15833" width="11" style="3" customWidth="1"/>
    <col min="15834" max="15834" width="8" style="3" customWidth="1"/>
    <col min="15835" max="15835" width="8.5703125" style="3" customWidth="1"/>
    <col min="15836" max="15836" width="10.28515625" style="3" customWidth="1"/>
    <col min="15837" max="15837" width="9.28515625" style="3" customWidth="1"/>
    <col min="15838" max="15838" width="9" style="3" customWidth="1"/>
    <col min="15839" max="15839" width="9.7109375" style="3" customWidth="1"/>
    <col min="15840" max="15840" width="10.5703125" style="3" customWidth="1"/>
    <col min="15841" max="15841" width="9.42578125" style="3" customWidth="1"/>
    <col min="15842" max="15842" width="9.5703125" style="3" customWidth="1"/>
    <col min="15843" max="15843" width="11.5703125" style="3" customWidth="1"/>
    <col min="15844" max="15844" width="10.28515625" style="3" customWidth="1"/>
    <col min="15845" max="15845" width="9.5703125" style="3" customWidth="1"/>
    <col min="15846" max="15846" width="11.7109375" style="3" customWidth="1"/>
    <col min="15847" max="15847" width="10.85546875" style="3" customWidth="1"/>
    <col min="15848" max="15848" width="15.28515625" style="3" customWidth="1"/>
    <col min="15849" max="15849" width="10" style="3" customWidth="1"/>
    <col min="15850" max="16086" width="9.140625" style="3"/>
    <col min="16087" max="16087" width="27.140625" style="3" bestFit="1" customWidth="1"/>
    <col min="16088" max="16088" width="12" style="3" customWidth="1"/>
    <col min="16089" max="16089" width="11" style="3" customWidth="1"/>
    <col min="16090" max="16090" width="8" style="3" customWidth="1"/>
    <col min="16091" max="16091" width="8.5703125" style="3" customWidth="1"/>
    <col min="16092" max="16092" width="10.28515625" style="3" customWidth="1"/>
    <col min="16093" max="16093" width="9.28515625" style="3" customWidth="1"/>
    <col min="16094" max="16094" width="9" style="3" customWidth="1"/>
    <col min="16095" max="16095" width="9.7109375" style="3" customWidth="1"/>
    <col min="16096" max="16096" width="10.5703125" style="3" customWidth="1"/>
    <col min="16097" max="16097" width="9.42578125" style="3" customWidth="1"/>
    <col min="16098" max="16098" width="9.5703125" style="3" customWidth="1"/>
    <col min="16099" max="16099" width="11.5703125" style="3" customWidth="1"/>
    <col min="16100" max="16100" width="10.28515625" style="3" customWidth="1"/>
    <col min="16101" max="16101" width="9.5703125" style="3" customWidth="1"/>
    <col min="16102" max="16102" width="11.7109375" style="3" customWidth="1"/>
    <col min="16103" max="16103" width="10.85546875" style="3" customWidth="1"/>
    <col min="16104" max="16104" width="15.28515625" style="3" customWidth="1"/>
    <col min="16105" max="16105" width="10" style="3" customWidth="1"/>
    <col min="16106" max="16384" width="9.140625" style="3"/>
  </cols>
  <sheetData>
    <row r="1" spans="1:23" x14ac:dyDescent="0.25">
      <c r="M1" s="124" t="s">
        <v>122</v>
      </c>
      <c r="N1" s="124"/>
    </row>
    <row r="2" spans="1:23" ht="21.75" customHeight="1" x14ac:dyDescent="0.25">
      <c r="A2" s="125" t="s">
        <v>123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23" ht="69.75" customHeight="1" x14ac:dyDescent="0.25">
      <c r="A3" s="126" t="s">
        <v>157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23" x14ac:dyDescent="0.25">
      <c r="B4" s="125" t="s">
        <v>124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23" ht="34.5" customHeight="1" x14ac:dyDescent="0.25">
      <c r="A5" s="121" t="s">
        <v>125</v>
      </c>
      <c r="B5" s="128" t="s">
        <v>126</v>
      </c>
      <c r="C5" s="129"/>
      <c r="D5" s="129"/>
      <c r="E5" s="128" t="s">
        <v>127</v>
      </c>
      <c r="F5" s="129"/>
      <c r="G5" s="129"/>
      <c r="H5" s="128" t="s">
        <v>128</v>
      </c>
      <c r="I5" s="129"/>
      <c r="J5" s="129"/>
      <c r="K5" s="130" t="s">
        <v>129</v>
      </c>
      <c r="L5" s="131"/>
      <c r="M5" s="131"/>
      <c r="N5" s="132" t="s">
        <v>130</v>
      </c>
      <c r="O5" s="120" t="s">
        <v>130</v>
      </c>
      <c r="P5" s="120"/>
      <c r="Q5" s="120"/>
    </row>
    <row r="6" spans="1:23" ht="61.5" customHeight="1" x14ac:dyDescent="0.25">
      <c r="A6" s="127"/>
      <c r="B6" s="121" t="s">
        <v>131</v>
      </c>
      <c r="C6" s="121" t="s">
        <v>30</v>
      </c>
      <c r="D6" s="121" t="s">
        <v>41</v>
      </c>
      <c r="E6" s="121" t="s">
        <v>131</v>
      </c>
      <c r="F6" s="121" t="s">
        <v>30</v>
      </c>
      <c r="G6" s="121" t="s">
        <v>41</v>
      </c>
      <c r="H6" s="121" t="s">
        <v>131</v>
      </c>
      <c r="I6" s="121" t="s">
        <v>30</v>
      </c>
      <c r="J6" s="121" t="s">
        <v>41</v>
      </c>
      <c r="K6" s="121" t="s">
        <v>131</v>
      </c>
      <c r="L6" s="121" t="s">
        <v>30</v>
      </c>
      <c r="M6" s="121" t="s">
        <v>41</v>
      </c>
      <c r="N6" s="133"/>
      <c r="O6" s="120"/>
      <c r="P6" s="120"/>
      <c r="Q6" s="120"/>
    </row>
    <row r="7" spans="1:23" ht="81.75" customHeight="1" x14ac:dyDescent="0.25">
      <c r="A7" s="127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34"/>
      <c r="O7" s="23" t="s">
        <v>132</v>
      </c>
      <c r="P7" s="23" t="s">
        <v>133</v>
      </c>
      <c r="Q7" s="23" t="s">
        <v>134</v>
      </c>
    </row>
    <row r="8" spans="1:23" s="5" customFormat="1" ht="18.75" customHeight="1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24"/>
      <c r="P8" s="24"/>
      <c r="Q8" s="24"/>
      <c r="R8" s="33"/>
      <c r="S8" s="76"/>
      <c r="T8" s="76"/>
      <c r="U8" s="76"/>
      <c r="V8" s="76"/>
      <c r="W8" s="76"/>
    </row>
    <row r="9" spans="1:23" s="8" customFormat="1" ht="28.5" x14ac:dyDescent="0.2">
      <c r="A9" s="6" t="s">
        <v>135</v>
      </c>
      <c r="B9" s="7">
        <f>B10+B11</f>
        <v>3850.8209999999999</v>
      </c>
      <c r="C9" s="7">
        <f t="shared" ref="C9:M9" si="0">C10+C11</f>
        <v>9358.6381000000001</v>
      </c>
      <c r="D9" s="7">
        <f t="shared" si="0"/>
        <v>123.24099999999999</v>
      </c>
      <c r="E9" s="7">
        <f t="shared" si="0"/>
        <v>3363.221</v>
      </c>
      <c r="F9" s="7">
        <f t="shared" si="0"/>
        <v>9684.9103724100005</v>
      </c>
      <c r="G9" s="7">
        <f t="shared" si="0"/>
        <v>123.24099999999999</v>
      </c>
      <c r="H9" s="7">
        <f t="shared" si="0"/>
        <v>3241.3209999999999</v>
      </c>
      <c r="I9" s="84">
        <f>I10+I11-0.001</f>
        <v>9634.2027513100002</v>
      </c>
      <c r="J9" s="7">
        <f t="shared" si="0"/>
        <v>123.24099999999999</v>
      </c>
      <c r="K9" s="7">
        <f t="shared" si="0"/>
        <v>3972.2849999999999</v>
      </c>
      <c r="L9" s="7">
        <f>L10+L11</f>
        <v>9341.6385000000009</v>
      </c>
      <c r="M9" s="7">
        <f t="shared" si="0"/>
        <v>123.24099999999999</v>
      </c>
      <c r="N9" s="83">
        <f>SUM(B9:M9)</f>
        <v>52940.001723720001</v>
      </c>
      <c r="O9" s="25">
        <f t="shared" ref="O9:Q10" si="1">B9+E9+H9+K9</f>
        <v>14427.647999999999</v>
      </c>
      <c r="P9" s="25">
        <f>C9+F9+I9+L9-0.001</f>
        <v>38019.388723720003</v>
      </c>
      <c r="Q9" s="25">
        <f>D9+G9+J9+M9</f>
        <v>492.96399999999994</v>
      </c>
      <c r="R9" s="30"/>
      <c r="S9" s="77">
        <f>SUM(S10:S11)</f>
        <v>28677.752223719999</v>
      </c>
      <c r="T9" s="77">
        <f t="shared" ref="T9:U9" si="2">SUM(T10:T11)</f>
        <v>3131.3999204366669</v>
      </c>
      <c r="U9" s="78">
        <f t="shared" si="2"/>
        <v>34940.552064593328</v>
      </c>
      <c r="V9" s="79"/>
      <c r="W9" s="79"/>
    </row>
    <row r="10" spans="1:23" x14ac:dyDescent="0.25">
      <c r="A10" s="59" t="s">
        <v>136</v>
      </c>
      <c r="B10" s="60">
        <f>2959+200</f>
        <v>3159</v>
      </c>
      <c r="C10" s="75">
        <f>20904/4+41.82486+398.75592+115.79632+816+500+(192.977*3)</f>
        <v>7677.3081000000002</v>
      </c>
      <c r="D10" s="74">
        <v>101.1</v>
      </c>
      <c r="E10" s="60">
        <f>2959-200</f>
        <v>2759</v>
      </c>
      <c r="F10" s="75">
        <f>20904/4+69.70815+398.75592+115.79632+816+739.772+(192.977*3)</f>
        <v>7944.9633900000008</v>
      </c>
      <c r="G10" s="74">
        <v>101.1</v>
      </c>
      <c r="H10" s="60">
        <f>2959-300</f>
        <v>2659</v>
      </c>
      <c r="I10" s="75">
        <f>20904/4+27.88325+398.75592+115.79632+816+740+(192.977*3)</f>
        <v>7903.3664900000003</v>
      </c>
      <c r="J10" s="74">
        <v>101.1</v>
      </c>
      <c r="K10" s="60">
        <f>2958.642+300</f>
        <v>3258.6419999999998</v>
      </c>
      <c r="L10" s="75">
        <f>20904/4+27.88326+398.75592+115.79632+816+500+(192.977*3)-0.004</f>
        <v>7663.3625000000002</v>
      </c>
      <c r="M10" s="74">
        <v>101.1</v>
      </c>
      <c r="N10" s="10">
        <f>SUM(B10:M10)</f>
        <v>43429.042479999996</v>
      </c>
      <c r="O10" s="31">
        <f t="shared" si="1"/>
        <v>11835.642</v>
      </c>
      <c r="P10" s="31">
        <f t="shared" si="1"/>
        <v>31189.000479999999</v>
      </c>
      <c r="Q10" s="31">
        <f t="shared" si="1"/>
        <v>404.4</v>
      </c>
      <c r="R10" s="16"/>
      <c r="S10" s="80">
        <f>C10+F10+I10</f>
        <v>23525.63798</v>
      </c>
      <c r="T10" s="81">
        <f>L10/3</f>
        <v>2554.4541666666669</v>
      </c>
      <c r="U10" s="80">
        <f>S10+T10*2</f>
        <v>28634.546313333332</v>
      </c>
      <c r="V10" s="80">
        <f>S10+T10</f>
        <v>26080.092146666666</v>
      </c>
      <c r="W10" s="81"/>
    </row>
    <row r="11" spans="1:23" ht="30" x14ac:dyDescent="0.25">
      <c r="A11" s="59" t="s">
        <v>156</v>
      </c>
      <c r="B11" s="60">
        <f>ROUND(B10*21.9%,3)</f>
        <v>691.82100000000003</v>
      </c>
      <c r="C11" s="75">
        <f>ROUND(C10*21.9%,3)</f>
        <v>1681.33</v>
      </c>
      <c r="D11" s="74">
        <f>ROUND(D10*21.9%,3)</f>
        <v>22.140999999999998</v>
      </c>
      <c r="E11" s="60">
        <f>ROUND(E10*21.9%,3)</f>
        <v>604.221</v>
      </c>
      <c r="F11" s="75">
        <f t="shared" ref="F11:I11" si="3">F10*21.9%</f>
        <v>1739.9469824099999</v>
      </c>
      <c r="G11" s="74">
        <f>ROUND(G10*21.9%,3)</f>
        <v>22.140999999999998</v>
      </c>
      <c r="H11" s="60">
        <f>ROUND(H10*21.9%,3)</f>
        <v>582.32100000000003</v>
      </c>
      <c r="I11" s="75">
        <f t="shared" si="3"/>
        <v>1730.8372613099998</v>
      </c>
      <c r="J11" s="74">
        <f>ROUND(J10*21.9%,3)</f>
        <v>22.140999999999998</v>
      </c>
      <c r="K11" s="60">
        <f>ROUND(K10*21.9%,3)</f>
        <v>713.64300000000003</v>
      </c>
      <c r="L11" s="75">
        <f>ROUND(L10*21.9%,3)</f>
        <v>1678.2760000000001</v>
      </c>
      <c r="M11" s="74">
        <f>ROUND(M10*21.9%,3)</f>
        <v>22.140999999999998</v>
      </c>
      <c r="N11" s="10">
        <f>SUM(B11:M11)</f>
        <v>9510.9602437199992</v>
      </c>
      <c r="O11" s="31">
        <f t="shared" ref="O11:Q12" si="4">B11+E11+H11+K11</f>
        <v>2592.0059999999999</v>
      </c>
      <c r="P11" s="31">
        <f t="shared" si="4"/>
        <v>6830.3902437199995</v>
      </c>
      <c r="Q11" s="31">
        <f t="shared" si="4"/>
        <v>88.563999999999993</v>
      </c>
      <c r="R11" s="16"/>
      <c r="S11" s="80">
        <f>C11+F11+I11</f>
        <v>5152.1142437199996</v>
      </c>
      <c r="T11" s="81">
        <f>I11/3</f>
        <v>576.9457537699999</v>
      </c>
      <c r="U11" s="80">
        <f>S11+T11*2</f>
        <v>6306.0057512599997</v>
      </c>
      <c r="V11" s="80">
        <f>S11+T11</f>
        <v>5729.0599974899997</v>
      </c>
      <c r="W11" s="81"/>
    </row>
    <row r="12" spans="1:23" s="8" customFormat="1" ht="14.25" x14ac:dyDescent="0.2">
      <c r="A12" s="6" t="s">
        <v>63</v>
      </c>
      <c r="B12" s="7">
        <f>B13+B14+B15+B16+B17</f>
        <v>3128.2249999999999</v>
      </c>
      <c r="C12" s="7">
        <f>C13+C14+C15+C16+C17</f>
        <v>1445.25</v>
      </c>
      <c r="D12" s="7">
        <f t="shared" ref="D12:L12" si="5">D13+D14+D15+D16+D17</f>
        <v>300</v>
      </c>
      <c r="E12" s="7">
        <f t="shared" si="5"/>
        <v>1655.623</v>
      </c>
      <c r="F12" s="7">
        <f t="shared" si="5"/>
        <v>1445.25</v>
      </c>
      <c r="G12" s="7">
        <f t="shared" si="5"/>
        <v>400.6</v>
      </c>
      <c r="H12" s="7">
        <f t="shared" si="5"/>
        <v>1344.5279999999998</v>
      </c>
      <c r="I12" s="7">
        <f t="shared" si="5"/>
        <v>1470.25</v>
      </c>
      <c r="J12" s="7">
        <f t="shared" si="5"/>
        <v>361</v>
      </c>
      <c r="K12" s="7">
        <f t="shared" si="5"/>
        <v>2094.2069999999999</v>
      </c>
      <c r="L12" s="7">
        <f t="shared" si="5"/>
        <v>1444.88</v>
      </c>
      <c r="M12" s="7">
        <f>M13+M14+M15+M16+M17</f>
        <v>105.43600000000001</v>
      </c>
      <c r="N12" s="7">
        <f t="shared" ref="N12:N22" si="6">SUM(B12:M12)</f>
        <v>15195.249000000002</v>
      </c>
      <c r="O12" s="25">
        <f t="shared" si="4"/>
        <v>8222.5830000000005</v>
      </c>
      <c r="P12" s="25">
        <f t="shared" si="4"/>
        <v>5805.63</v>
      </c>
      <c r="Q12" s="25">
        <f t="shared" si="4"/>
        <v>1167.0359999999998</v>
      </c>
      <c r="R12" s="30"/>
      <c r="S12" s="77"/>
      <c r="T12" s="79"/>
      <c r="U12" s="79"/>
      <c r="V12" s="79"/>
      <c r="W12" s="79"/>
    </row>
    <row r="13" spans="1:23" ht="36.75" customHeight="1" x14ac:dyDescent="0.25">
      <c r="A13" s="59" t="s">
        <v>155</v>
      </c>
      <c r="B13" s="60">
        <v>315.8</v>
      </c>
      <c r="C13" s="10">
        <f>350</f>
        <v>350</v>
      </c>
      <c r="D13" s="74">
        <v>200</v>
      </c>
      <c r="E13" s="60">
        <v>315.84100000000001</v>
      </c>
      <c r="F13" s="10">
        <f>350</f>
        <v>350</v>
      </c>
      <c r="G13" s="74">
        <f>218.6</f>
        <v>218.6</v>
      </c>
      <c r="H13" s="60">
        <v>0</v>
      </c>
      <c r="I13" s="10">
        <f>350</f>
        <v>350</v>
      </c>
      <c r="J13" s="74">
        <f>145</f>
        <v>145</v>
      </c>
      <c r="K13" s="60">
        <v>0</v>
      </c>
      <c r="L13" s="10">
        <f>349.63</f>
        <v>349.63</v>
      </c>
      <c r="M13" s="74">
        <v>19.436</v>
      </c>
      <c r="N13" s="10">
        <f t="shared" si="6"/>
        <v>2614.3070000000002</v>
      </c>
      <c r="O13" s="27">
        <f>B13+E13+H13+K13</f>
        <v>631.64100000000008</v>
      </c>
      <c r="P13" s="27">
        <f t="shared" ref="P13:P16" si="7">C13+F13+I13+L13</f>
        <v>1399.63</v>
      </c>
      <c r="Q13" s="35">
        <f>D13+G13+J13+M13</f>
        <v>583.03600000000006</v>
      </c>
      <c r="R13" s="16"/>
      <c r="S13" s="80"/>
      <c r="T13" s="81"/>
      <c r="U13" s="81"/>
      <c r="V13" s="81"/>
      <c r="W13" s="81"/>
    </row>
    <row r="14" spans="1:23" ht="30" x14ac:dyDescent="0.25">
      <c r="A14" s="59" t="s">
        <v>154</v>
      </c>
      <c r="B14" s="60">
        <v>303.02199999999999</v>
      </c>
      <c r="C14" s="10">
        <f>427.5</f>
        <v>427.5</v>
      </c>
      <c r="D14" s="74"/>
      <c r="E14" s="10"/>
      <c r="F14" s="10">
        <f>427.5</f>
        <v>427.5</v>
      </c>
      <c r="G14" s="74">
        <v>70</v>
      </c>
      <c r="H14" s="10"/>
      <c r="I14" s="10">
        <f>427.5</f>
        <v>427.5</v>
      </c>
      <c r="J14" s="74"/>
      <c r="K14" s="10"/>
      <c r="L14" s="10">
        <f>427.5</f>
        <v>427.5</v>
      </c>
      <c r="M14" s="74"/>
      <c r="N14" s="10">
        <f t="shared" si="6"/>
        <v>2083.0219999999999</v>
      </c>
      <c r="O14" s="27">
        <f t="shared" ref="O14:O16" si="8">B14+E14+H14+K14</f>
        <v>303.02199999999999</v>
      </c>
      <c r="P14" s="27">
        <f t="shared" si="7"/>
        <v>1710</v>
      </c>
      <c r="Q14" s="35">
        <f>D14+G14+J14+M14</f>
        <v>70</v>
      </c>
      <c r="R14" s="37"/>
    </row>
    <row r="15" spans="1:23" ht="20.25" customHeight="1" x14ac:dyDescent="0.25">
      <c r="A15" s="59" t="s">
        <v>137</v>
      </c>
      <c r="B15" s="60">
        <v>415.2</v>
      </c>
      <c r="C15" s="75">
        <v>17.75</v>
      </c>
      <c r="D15" s="74">
        <v>36</v>
      </c>
      <c r="E15" s="60">
        <v>620.29999999999995</v>
      </c>
      <c r="F15" s="75">
        <v>17.75</v>
      </c>
      <c r="G15" s="74">
        <v>36</v>
      </c>
      <c r="H15" s="60">
        <v>625.04999999999995</v>
      </c>
      <c r="I15" s="75">
        <v>17.75</v>
      </c>
      <c r="J15" s="74">
        <v>36</v>
      </c>
      <c r="K15" s="60">
        <v>0</v>
      </c>
      <c r="L15" s="75">
        <v>17.75</v>
      </c>
      <c r="M15" s="74">
        <v>36</v>
      </c>
      <c r="N15" s="10">
        <f t="shared" si="6"/>
        <v>1875.55</v>
      </c>
      <c r="O15" s="31">
        <f t="shared" si="8"/>
        <v>1660.55</v>
      </c>
      <c r="P15" s="31">
        <f t="shared" si="7"/>
        <v>71</v>
      </c>
      <c r="Q15" s="31">
        <f>D15+G15+J15+M15</f>
        <v>144</v>
      </c>
      <c r="R15" s="16"/>
    </row>
    <row r="16" spans="1:23" ht="34.9" customHeight="1" x14ac:dyDescent="0.25">
      <c r="A16" s="9" t="s">
        <v>158</v>
      </c>
      <c r="B16" s="10">
        <v>0</v>
      </c>
      <c r="C16" s="10">
        <f>650</f>
        <v>650</v>
      </c>
      <c r="D16" s="74">
        <v>64</v>
      </c>
      <c r="E16" s="10"/>
      <c r="F16" s="10">
        <f>650</f>
        <v>650</v>
      </c>
      <c r="G16" s="74">
        <v>76</v>
      </c>
      <c r="H16" s="10"/>
      <c r="I16" s="10">
        <f>675</f>
        <v>675</v>
      </c>
      <c r="J16" s="74">
        <v>180</v>
      </c>
      <c r="K16" s="10"/>
      <c r="L16" s="10">
        <f>650</f>
        <v>650</v>
      </c>
      <c r="M16" s="74">
        <v>50</v>
      </c>
      <c r="N16" s="10">
        <f t="shared" si="6"/>
        <v>2995</v>
      </c>
      <c r="O16" s="26">
        <f t="shared" si="8"/>
        <v>0</v>
      </c>
      <c r="P16" s="26">
        <f t="shared" si="7"/>
        <v>2625</v>
      </c>
      <c r="Q16" s="51">
        <f>D16+G16+J16+M16</f>
        <v>370</v>
      </c>
      <c r="R16" s="16"/>
      <c r="S16" s="16"/>
    </row>
    <row r="17" spans="1:20" s="62" customFormat="1" ht="30.6" customHeight="1" x14ac:dyDescent="0.25">
      <c r="A17" s="59" t="s">
        <v>153</v>
      </c>
      <c r="B17" s="60">
        <f>1374.724+56.718+653.324+9.437</f>
        <v>2094.203</v>
      </c>
      <c r="C17" s="60"/>
      <c r="D17" s="60"/>
      <c r="E17" s="60">
        <f>56.719+653.325+9.438</f>
        <v>719.48200000000008</v>
      </c>
      <c r="F17" s="60"/>
      <c r="G17" s="60"/>
      <c r="H17" s="60">
        <f>56.718+653.324+9.436</f>
        <v>719.47799999999995</v>
      </c>
      <c r="I17" s="60"/>
      <c r="J17" s="60"/>
      <c r="K17" s="60">
        <f>1374.725+56.72+653.326+9.436</f>
        <v>2094.2069999999999</v>
      </c>
      <c r="L17" s="60"/>
      <c r="M17" s="60"/>
      <c r="N17" s="60">
        <f t="shared" si="6"/>
        <v>5627.37</v>
      </c>
      <c r="O17" s="55">
        <f>N17</f>
        <v>5627.37</v>
      </c>
      <c r="P17" s="55">
        <f>C17+F17+I17+L17</f>
        <v>0</v>
      </c>
      <c r="Q17" s="61"/>
      <c r="R17" s="72"/>
    </row>
    <row r="18" spans="1:20" s="73" customFormat="1" ht="42.75" x14ac:dyDescent="0.25">
      <c r="A18" s="69" t="s">
        <v>138</v>
      </c>
      <c r="B18" s="70">
        <f>B20+B19+B22</f>
        <v>67.999750000000006</v>
      </c>
      <c r="C18" s="70">
        <f>C20+C19</f>
        <v>0</v>
      </c>
      <c r="D18" s="70">
        <f>D20+D19+D22</f>
        <v>0</v>
      </c>
      <c r="E18" s="70">
        <f>E20+E19+E22</f>
        <v>67.999750000000006</v>
      </c>
      <c r="F18" s="70">
        <f>F20+F19+F22</f>
        <v>0</v>
      </c>
      <c r="G18" s="70">
        <f>G20+G19+G22</f>
        <v>0</v>
      </c>
      <c r="H18" s="70">
        <f>H20+H19</f>
        <v>69.999750000000006</v>
      </c>
      <c r="I18" s="70">
        <f>I20+I19</f>
        <v>0</v>
      </c>
      <c r="J18" s="70">
        <f>J20+J19+J22</f>
        <v>0</v>
      </c>
      <c r="K18" s="70">
        <f>K20+K19</f>
        <v>69.642750000000007</v>
      </c>
      <c r="L18" s="70">
        <f>L20+L19</f>
        <v>0</v>
      </c>
      <c r="M18" s="70">
        <f>M20+M19+M22</f>
        <v>0</v>
      </c>
      <c r="N18" s="70">
        <f>SUM(B18:M18)+0.001</f>
        <v>275.64300000000003</v>
      </c>
      <c r="O18" s="56">
        <f>B18+E18+H18+K18+0.001</f>
        <v>275.64300000000003</v>
      </c>
      <c r="P18" s="56">
        <f>C18+F18+I18+L18</f>
        <v>0</v>
      </c>
      <c r="Q18" s="71"/>
      <c r="R18" s="72"/>
    </row>
    <row r="19" spans="1:20" s="68" customFormat="1" x14ac:dyDescent="0.25">
      <c r="A19" s="63" t="s">
        <v>139</v>
      </c>
      <c r="B19" s="64">
        <v>0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>
        <f t="shared" si="6"/>
        <v>0</v>
      </c>
      <c r="O19" s="65">
        <f t="shared" ref="O19:P25" si="9">B19+E19+H19+K19</f>
        <v>0</v>
      </c>
      <c r="P19" s="66">
        <f t="shared" si="9"/>
        <v>0</v>
      </c>
      <c r="Q19" s="67"/>
    </row>
    <row r="20" spans="1:20" s="58" customFormat="1" ht="23.25" customHeight="1" x14ac:dyDescent="0.25">
      <c r="A20" s="53" t="s">
        <v>140</v>
      </c>
      <c r="B20" s="54">
        <f t="shared" ref="B20:M20" si="10">B21</f>
        <v>67.999750000000006</v>
      </c>
      <c r="C20" s="54">
        <f t="shared" si="10"/>
        <v>0</v>
      </c>
      <c r="D20" s="54">
        <f t="shared" si="10"/>
        <v>0</v>
      </c>
      <c r="E20" s="54">
        <f t="shared" si="10"/>
        <v>67.999750000000006</v>
      </c>
      <c r="F20" s="54">
        <f t="shared" si="10"/>
        <v>0</v>
      </c>
      <c r="G20" s="54">
        <f t="shared" si="10"/>
        <v>0</v>
      </c>
      <c r="H20" s="54">
        <f t="shared" si="10"/>
        <v>69.999750000000006</v>
      </c>
      <c r="I20" s="54">
        <f t="shared" si="10"/>
        <v>0</v>
      </c>
      <c r="J20" s="54">
        <f t="shared" si="10"/>
        <v>0</v>
      </c>
      <c r="K20" s="54">
        <f t="shared" si="10"/>
        <v>69.642750000000007</v>
      </c>
      <c r="L20" s="54">
        <f t="shared" si="10"/>
        <v>0</v>
      </c>
      <c r="M20" s="54">
        <f t="shared" si="10"/>
        <v>0</v>
      </c>
      <c r="N20" s="54">
        <f>SUM(B20:M20)+0.001</f>
        <v>275.64300000000003</v>
      </c>
      <c r="O20" s="55">
        <f>B20+E20+H20+K20+0.001</f>
        <v>275.64300000000003</v>
      </c>
      <c r="P20" s="56">
        <f t="shared" si="9"/>
        <v>0</v>
      </c>
      <c r="Q20" s="57"/>
    </row>
    <row r="21" spans="1:20" s="62" customFormat="1" ht="28.15" customHeight="1" x14ac:dyDescent="0.25">
      <c r="A21" s="59" t="s">
        <v>152</v>
      </c>
      <c r="B21" s="60">
        <f>22.97025*3-0.911</f>
        <v>67.999750000000006</v>
      </c>
      <c r="C21" s="60"/>
      <c r="D21" s="60"/>
      <c r="E21" s="60">
        <f>22.97025*3-0.911</f>
        <v>67.999750000000006</v>
      </c>
      <c r="F21" s="60"/>
      <c r="G21" s="60"/>
      <c r="H21" s="60">
        <f>22.97025*3+1.089</f>
        <v>69.999750000000006</v>
      </c>
      <c r="I21" s="60"/>
      <c r="J21" s="60"/>
      <c r="K21" s="60">
        <f>22.97025*3+0.732</f>
        <v>69.642750000000007</v>
      </c>
      <c r="L21" s="60"/>
      <c r="M21" s="60"/>
      <c r="N21" s="60">
        <f>SUM(B21:M21)+0.001</f>
        <v>275.64300000000003</v>
      </c>
      <c r="O21" s="55">
        <f>B21+E21+H21+K21+0.001</f>
        <v>275.64300000000003</v>
      </c>
      <c r="P21" s="56">
        <f t="shared" si="9"/>
        <v>0</v>
      </c>
      <c r="Q21" s="61"/>
    </row>
    <row r="22" spans="1:20" ht="19.5" customHeight="1" x14ac:dyDescent="0.25">
      <c r="A22" s="6" t="s">
        <v>141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f t="shared" si="6"/>
        <v>0</v>
      </c>
      <c r="O22" s="26">
        <f t="shared" si="9"/>
        <v>0</v>
      </c>
      <c r="P22" s="25">
        <f t="shared" si="9"/>
        <v>0</v>
      </c>
      <c r="Q22" s="28"/>
    </row>
    <row r="23" spans="1:20" s="13" customFormat="1" ht="33" customHeight="1" x14ac:dyDescent="0.3">
      <c r="A23" s="6" t="s">
        <v>142</v>
      </c>
      <c r="B23" s="7"/>
      <c r="C23" s="82">
        <f>C24</f>
        <v>800</v>
      </c>
      <c r="D23" s="12"/>
      <c r="E23" s="12"/>
      <c r="F23" s="12"/>
      <c r="G23" s="12"/>
      <c r="H23" s="7"/>
      <c r="I23" s="12"/>
      <c r="J23" s="12"/>
      <c r="K23" s="12"/>
      <c r="L23" s="12"/>
      <c r="M23" s="12"/>
      <c r="N23" s="7">
        <f>N24</f>
        <v>800</v>
      </c>
      <c r="O23" s="31">
        <f t="shared" si="9"/>
        <v>0</v>
      </c>
      <c r="P23" s="32">
        <f>C23+F23+I23+L23</f>
        <v>800</v>
      </c>
      <c r="Q23" s="32">
        <f>D23+G23+J23+M23</f>
        <v>0</v>
      </c>
      <c r="R23" s="36"/>
      <c r="S23" s="52"/>
      <c r="T23" s="52"/>
    </row>
    <row r="24" spans="1:20" s="13" customFormat="1" ht="50.25" customHeight="1" x14ac:dyDescent="0.25">
      <c r="A24" s="11" t="s">
        <v>143</v>
      </c>
      <c r="B24" s="12"/>
      <c r="C24" s="75">
        <v>800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7">
        <f>SUM(B24:M24)</f>
        <v>800</v>
      </c>
      <c r="O24" s="31">
        <f t="shared" si="9"/>
        <v>0</v>
      </c>
      <c r="P24" s="32">
        <f>C24+F24+I24+L24</f>
        <v>800</v>
      </c>
      <c r="Q24" s="38">
        <f>D24+G24+J24+M24</f>
        <v>0</v>
      </c>
    </row>
    <row r="25" spans="1:20" s="13" customFormat="1" ht="25.5" customHeight="1" x14ac:dyDescent="0.25">
      <c r="A25" s="11" t="s">
        <v>144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4">
        <f>SUM(B25:M25)</f>
        <v>0</v>
      </c>
      <c r="O25" s="26">
        <f t="shared" si="9"/>
        <v>0</v>
      </c>
      <c r="P25" s="25">
        <f t="shared" si="9"/>
        <v>0</v>
      </c>
      <c r="Q25" s="29"/>
    </row>
    <row r="26" spans="1:20" ht="33" customHeight="1" x14ac:dyDescent="0.25">
      <c r="A26" s="6" t="s">
        <v>145</v>
      </c>
      <c r="B26" s="70">
        <f t="shared" ref="B26:N26" si="11">B9+B12+B18+B23</f>
        <v>7047.0457500000002</v>
      </c>
      <c r="C26" s="7">
        <f t="shared" si="11"/>
        <v>11603.8881</v>
      </c>
      <c r="D26" s="7">
        <f t="shared" si="11"/>
        <v>423.24099999999999</v>
      </c>
      <c r="E26" s="70">
        <f t="shared" si="11"/>
        <v>5086.84375</v>
      </c>
      <c r="F26" s="7">
        <f t="shared" si="11"/>
        <v>11130.16037241</v>
      </c>
      <c r="G26" s="7">
        <f t="shared" si="11"/>
        <v>523.84100000000001</v>
      </c>
      <c r="H26" s="70">
        <f t="shared" si="11"/>
        <v>4655.8487500000001</v>
      </c>
      <c r="I26" s="7">
        <f t="shared" si="11"/>
        <v>11104.45275131</v>
      </c>
      <c r="J26" s="7">
        <f t="shared" si="11"/>
        <v>484.24099999999999</v>
      </c>
      <c r="K26" s="70">
        <f t="shared" si="11"/>
        <v>6136.1347500000002</v>
      </c>
      <c r="L26" s="7">
        <f t="shared" si="11"/>
        <v>10786.518500000002</v>
      </c>
      <c r="M26" s="7">
        <f t="shared" si="11"/>
        <v>228.67699999999999</v>
      </c>
      <c r="N26" s="7">
        <f t="shared" si="11"/>
        <v>69210.893723720001</v>
      </c>
      <c r="O26" s="66">
        <f>O10+O11+O12+O21+O24</f>
        <v>22925.874</v>
      </c>
      <c r="P26" s="25">
        <f>P10+P11+P12+P21+P23</f>
        <v>44625.020723719994</v>
      </c>
      <c r="Q26" s="25">
        <f>Q10+Q11+Q12+Q21</f>
        <v>1659.9999999999998</v>
      </c>
      <c r="R26" s="15"/>
      <c r="S26" s="16"/>
    </row>
    <row r="27" spans="1:20" ht="36.75" customHeight="1" x14ac:dyDescent="0.25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34"/>
      <c r="O27" s="16"/>
      <c r="P27" s="16"/>
    </row>
    <row r="28" spans="1:20" ht="31.5" customHeight="1" x14ac:dyDescent="0.25">
      <c r="A28" s="123" t="s">
        <v>146</v>
      </c>
      <c r="B28" s="123"/>
      <c r="C28" s="18" t="s">
        <v>148</v>
      </c>
      <c r="D28" s="18"/>
      <c r="E28" s="19" t="s">
        <v>147</v>
      </c>
    </row>
    <row r="29" spans="1:20" x14ac:dyDescent="0.25">
      <c r="E29" s="20"/>
      <c r="F29" s="20"/>
      <c r="G29" s="20"/>
    </row>
    <row r="30" spans="1:20" x14ac:dyDescent="0.25">
      <c r="B30" s="21"/>
      <c r="H30" s="20"/>
      <c r="K30" s="20"/>
    </row>
    <row r="31" spans="1:20" x14ac:dyDescent="0.25">
      <c r="F31" s="20"/>
      <c r="H31" s="22"/>
      <c r="K31" s="22"/>
    </row>
  </sheetData>
  <mergeCells count="24">
    <mergeCell ref="A28:B28"/>
    <mergeCell ref="G6:G7"/>
    <mergeCell ref="M1:N1"/>
    <mergeCell ref="A2:N2"/>
    <mergeCell ref="A3:N3"/>
    <mergeCell ref="B4:N4"/>
    <mergeCell ref="A5:A7"/>
    <mergeCell ref="B5:D5"/>
    <mergeCell ref="E5:G5"/>
    <mergeCell ref="H5:J5"/>
    <mergeCell ref="K5:M5"/>
    <mergeCell ref="N5:N7"/>
    <mergeCell ref="B6:B7"/>
    <mergeCell ref="C6:C7"/>
    <mergeCell ref="D6:D7"/>
    <mergeCell ref="E6:E7"/>
    <mergeCell ref="O5:Q6"/>
    <mergeCell ref="F6:F7"/>
    <mergeCell ref="H6:H7"/>
    <mergeCell ref="I6:I7"/>
    <mergeCell ref="J6:J7"/>
    <mergeCell ref="K6:K7"/>
    <mergeCell ref="L6:L7"/>
    <mergeCell ref="M6:M7"/>
  </mergeCells>
  <pageMargins left="0.70866141732283472" right="0.70866141732283472" top="0.19685039370078741" bottom="0.19685039370078741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фин.план</vt:lpstr>
      <vt:lpstr>обсяги</vt:lpstr>
      <vt:lpstr>обсяги!Область_печати</vt:lpstr>
      <vt:lpstr>фин.план!Область_печати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polzovatel</dc:creator>
  <cp:lastModifiedBy>Work</cp:lastModifiedBy>
  <cp:lastPrinted>2023-12-12T14:00:01Z</cp:lastPrinted>
  <dcterms:created xsi:type="dcterms:W3CDTF">2015-06-05T18:19:34Z</dcterms:created>
  <dcterms:modified xsi:type="dcterms:W3CDTF">2023-12-12T14:03:21Z</dcterms:modified>
</cp:coreProperties>
</file>