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1-FIN-OTDEL\share\БЮДЖЕТ 2024 рік\Рішення про бюджет на 2024 рік\4. Рішення від  №\Рішення від  №\Рішення (травень)\"/>
    </mc:Choice>
  </mc:AlternateContent>
  <bookViews>
    <workbookView xWindow="-120" yWindow="-120" windowWidth="29040" windowHeight="15840" firstSheet="2" activeTab="2"/>
  </bookViews>
  <sheets>
    <sheet name="дод 1 Доходи" sheetId="22" r:id="rId1"/>
    <sheet name="дод 2 Джерела" sheetId="23" r:id="rId2"/>
    <sheet name="дод 3 Видатки" sheetId="19" r:id="rId3"/>
    <sheet name="дод 5 Трансферти" sheetId="24" r:id="rId4"/>
    <sheet name="дод 7 Програми" sheetId="11" r:id="rId5"/>
    <sheet name="дод 8 Бюджет розвитку" sheetId="27" r:id="rId6"/>
    <sheet name="дод 12 Дороги" sheetId="26" r:id="rId7"/>
  </sheets>
  <definedNames>
    <definedName name="_xlnm.Print_Titles" localSheetId="0">'дод 1 Доходи'!$16:$19</definedName>
    <definedName name="_xlnm.Print_Titles" localSheetId="6">'дод 12 Дороги'!$18:$22</definedName>
    <definedName name="_xlnm.Print_Titles" localSheetId="2">'дод 3 Видатки'!$18:$22</definedName>
    <definedName name="_xlnm.Print_Titles" localSheetId="4">'дод 7 Програми'!$20:$22</definedName>
    <definedName name="_xlnm.Print_Titles" localSheetId="5">'дод 8 Бюджет розвитку'!$19:$21</definedName>
    <definedName name="_xlnm.Print_Area" localSheetId="0">'дод 1 Доходи'!$A$1:$F$86</definedName>
    <definedName name="_xlnm.Print_Area" localSheetId="6">'дод 12 Дороги'!$A$1:$F$48</definedName>
    <definedName name="_xlnm.Print_Area" localSheetId="1">'дод 2 Джерела'!$A$1:$F$40</definedName>
    <definedName name="_xlnm.Print_Area" localSheetId="2">'дод 3 Видатки'!$A$1:$P$131</definedName>
    <definedName name="_xlnm.Print_Area" localSheetId="3">'дод 5 Трансферти'!$A$1:$D$64</definedName>
    <definedName name="_xlnm.Print_Area" localSheetId="4">'дод 7 Програми'!$A$1:$J$114</definedName>
    <definedName name="_xlnm.Print_Area" localSheetId="5">'дод 8 Бюджет розвитку'!$A$1:$K$85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7" i="19" l="1"/>
  <c r="H77" i="11" l="1"/>
  <c r="H53" i="11"/>
  <c r="J81" i="27" l="1"/>
  <c r="J80" i="27"/>
  <c r="K78" i="27"/>
  <c r="I78" i="27"/>
  <c r="G77" i="27"/>
  <c r="G76" i="27"/>
  <c r="G75" i="27"/>
  <c r="J74" i="27"/>
  <c r="I72" i="27"/>
  <c r="J71" i="27"/>
  <c r="I68" i="27"/>
  <c r="J65" i="27"/>
  <c r="J62" i="27"/>
  <c r="H62" i="27"/>
  <c r="I62" i="27" s="1"/>
  <c r="I58" i="27"/>
  <c r="H55" i="27"/>
  <c r="G55" i="27"/>
  <c r="J54" i="27"/>
  <c r="H54" i="27"/>
  <c r="I54" i="27" s="1"/>
  <c r="J52" i="27"/>
  <c r="I52" i="27"/>
  <c r="I51" i="27"/>
  <c r="I49" i="27"/>
  <c r="I47" i="27"/>
  <c r="J46" i="27"/>
  <c r="H46" i="27"/>
  <c r="I46" i="27" s="1"/>
  <c r="J41" i="27"/>
  <c r="J40" i="27" s="1"/>
  <c r="J35" i="27"/>
  <c r="J34" i="27"/>
  <c r="J31" i="27"/>
  <c r="J30" i="27" s="1"/>
  <c r="J29" i="27"/>
  <c r="J23" i="27"/>
  <c r="J22" i="27"/>
  <c r="K54" i="27" l="1"/>
  <c r="J44" i="27"/>
  <c r="J43" i="27" s="1"/>
  <c r="J83" i="27"/>
  <c r="I79" i="11" l="1"/>
  <c r="I41" i="11"/>
  <c r="J99" i="11"/>
  <c r="G99" i="11"/>
  <c r="I98" i="11"/>
  <c r="I96" i="11"/>
  <c r="I94" i="11"/>
  <c r="J95" i="11"/>
  <c r="G95" i="11"/>
  <c r="I93" i="11"/>
  <c r="I92" i="11"/>
  <c r="I91" i="11"/>
  <c r="G91" i="11"/>
  <c r="J90" i="11"/>
  <c r="J36" i="11"/>
  <c r="H85" i="11"/>
  <c r="H83" i="11"/>
  <c r="H76" i="11"/>
  <c r="H73" i="11"/>
  <c r="H64" i="11" s="1"/>
  <c r="G56" i="11"/>
  <c r="G51" i="11"/>
  <c r="H46" i="11" l="1"/>
  <c r="H43" i="11"/>
  <c r="H42" i="11"/>
  <c r="H36" i="11"/>
  <c r="G39" i="11"/>
  <c r="H41" i="11" l="1"/>
  <c r="G41" i="11" s="1"/>
  <c r="D27" i="23"/>
  <c r="C27" i="23" s="1"/>
  <c r="C34" i="23" s="1"/>
  <c r="D38" i="24"/>
  <c r="D30" i="24"/>
  <c r="D26" i="24"/>
  <c r="D58" i="24"/>
  <c r="D54" i="24"/>
  <c r="O110" i="19"/>
  <c r="J110" i="19" s="1"/>
  <c r="P110" i="19" s="1"/>
  <c r="O108" i="19"/>
  <c r="J107" i="19"/>
  <c r="P107" i="19" s="1"/>
  <c r="K107" i="19"/>
  <c r="O107" i="19"/>
  <c r="O106" i="19"/>
  <c r="O105" i="19"/>
  <c r="O104" i="19"/>
  <c r="O103" i="19"/>
  <c r="O102" i="19"/>
  <c r="J102" i="19" s="1"/>
  <c r="P102" i="19" s="1"/>
  <c r="O101" i="19"/>
  <c r="K101" i="19" s="1"/>
  <c r="F59" i="19"/>
  <c r="F55" i="19" s="1"/>
  <c r="F96" i="19"/>
  <c r="F95" i="19"/>
  <c r="F93" i="19"/>
  <c r="G71" i="19"/>
  <c r="F86" i="19"/>
  <c r="F84" i="19"/>
  <c r="F85" i="19"/>
  <c r="E83" i="19"/>
  <c r="P83" i="19" s="1"/>
  <c r="F81" i="19"/>
  <c r="F77" i="19"/>
  <c r="H77" i="19"/>
  <c r="H71" i="19" s="1"/>
  <c r="E36" i="19"/>
  <c r="F42" i="19"/>
  <c r="E53" i="19"/>
  <c r="P53" i="19" s="1"/>
  <c r="F50" i="19"/>
  <c r="H42" i="19"/>
  <c r="F41" i="19"/>
  <c r="G41" i="19"/>
  <c r="H41" i="19"/>
  <c r="E45" i="19"/>
  <c r="P45" i="19" s="1"/>
  <c r="E44" i="19"/>
  <c r="K37" i="19"/>
  <c r="F37" i="19"/>
  <c r="E37" i="19" s="1"/>
  <c r="C71" i="22"/>
  <c r="C70" i="22" s="1"/>
  <c r="C74" i="22"/>
  <c r="D70" i="22"/>
  <c r="D72" i="22"/>
  <c r="C76" i="22"/>
  <c r="C75" i="22"/>
  <c r="E28" i="23"/>
  <c r="D28" i="23"/>
  <c r="D26" i="23"/>
  <c r="C26" i="23" s="1"/>
  <c r="D22" i="22"/>
  <c r="F24" i="26"/>
  <c r="F23" i="26" s="1"/>
  <c r="F46" i="26" s="1"/>
  <c r="D34" i="23" l="1"/>
  <c r="C25" i="23"/>
  <c r="D25" i="23"/>
  <c r="F71" i="19"/>
  <c r="K102" i="19"/>
  <c r="K110" i="19"/>
  <c r="H86" i="11" l="1"/>
  <c r="G86" i="11" s="1"/>
  <c r="E96" i="19" l="1"/>
  <c r="P96" i="19" s="1"/>
  <c r="O109" i="19"/>
  <c r="K109" i="19" l="1"/>
  <c r="J109" i="19"/>
  <c r="P109" i="19" s="1"/>
  <c r="O99" i="19"/>
  <c r="O88" i="19"/>
  <c r="J38" i="11" l="1"/>
  <c r="I38" i="11" s="1"/>
  <c r="J37" i="11"/>
  <c r="I37" i="11" s="1"/>
  <c r="I36" i="11"/>
  <c r="H38" i="11"/>
  <c r="H37" i="11"/>
  <c r="D57" i="24"/>
  <c r="D62" i="24" s="1"/>
  <c r="D53" i="24"/>
  <c r="J33" i="19"/>
  <c r="J34" i="19"/>
  <c r="J35" i="19"/>
  <c r="J36" i="19"/>
  <c r="J32" i="19"/>
  <c r="O37" i="19"/>
  <c r="J37" i="19" s="1"/>
  <c r="P37" i="19" l="1"/>
  <c r="G37" i="11"/>
  <c r="G38" i="11"/>
  <c r="G36" i="11"/>
  <c r="I90" i="11" l="1"/>
  <c r="I89" i="11" s="1"/>
  <c r="G97" i="11"/>
  <c r="J98" i="11"/>
  <c r="J92" i="11"/>
  <c r="J31" i="11"/>
  <c r="J24" i="11" s="1"/>
  <c r="H101" i="11"/>
  <c r="H100" i="11" s="1"/>
  <c r="I101" i="11"/>
  <c r="I100" i="11" s="1"/>
  <c r="J101" i="11"/>
  <c r="J100" i="11" s="1"/>
  <c r="G102" i="11"/>
  <c r="G101" i="11" s="1"/>
  <c r="G100" i="11" s="1"/>
  <c r="H109" i="11"/>
  <c r="G109" i="11" s="1"/>
  <c r="H108" i="11"/>
  <c r="G108" i="11" s="1"/>
  <c r="I107" i="11"/>
  <c r="I106" i="11" s="1"/>
  <c r="J107" i="11"/>
  <c r="J106" i="11" s="1"/>
  <c r="H105" i="11"/>
  <c r="G105" i="11" s="1"/>
  <c r="J41" i="11"/>
  <c r="G50" i="11"/>
  <c r="I30" i="11"/>
  <c r="I32" i="11"/>
  <c r="I33" i="11"/>
  <c r="I34" i="11"/>
  <c r="I35" i="11"/>
  <c r="G49" i="11"/>
  <c r="I31" i="11" l="1"/>
  <c r="G98" i="11"/>
  <c r="J97" i="11"/>
  <c r="H107" i="11"/>
  <c r="H106" i="11" s="1"/>
  <c r="G90" i="11"/>
  <c r="G107" i="11"/>
  <c r="G106" i="11" s="1"/>
  <c r="H31" i="11"/>
  <c r="H34" i="11"/>
  <c r="H26" i="11"/>
  <c r="H24" i="11" l="1"/>
  <c r="E62" i="22"/>
  <c r="E113" i="19"/>
  <c r="F114" i="19"/>
  <c r="F112" i="19" s="1"/>
  <c r="K106" i="19"/>
  <c r="K108" i="19"/>
  <c r="K105" i="19"/>
  <c r="J103" i="19"/>
  <c r="J101" i="19"/>
  <c r="P101" i="19" s="1"/>
  <c r="K103" i="19"/>
  <c r="F100" i="19"/>
  <c r="J122" i="19"/>
  <c r="J123" i="19"/>
  <c r="E121" i="19"/>
  <c r="F123" i="19"/>
  <c r="E123" i="19" s="1"/>
  <c r="F122" i="19"/>
  <c r="G116" i="19"/>
  <c r="F118" i="19"/>
  <c r="O39" i="19"/>
  <c r="O38" i="19" s="1"/>
  <c r="J43" i="19"/>
  <c r="J44" i="19"/>
  <c r="J46" i="19"/>
  <c r="J47" i="19"/>
  <c r="E47" i="19"/>
  <c r="F46" i="19"/>
  <c r="P36" i="19"/>
  <c r="J25" i="19"/>
  <c r="J28" i="19"/>
  <c r="K30" i="19"/>
  <c r="F30" i="19"/>
  <c r="F35" i="19"/>
  <c r="F25" i="19"/>
  <c r="F26" i="19"/>
  <c r="D61" i="24"/>
  <c r="D60" i="24" s="1"/>
  <c r="E46" i="19" l="1"/>
  <c r="F39" i="19"/>
  <c r="O30" i="19"/>
  <c r="K24" i="19"/>
  <c r="K23" i="19" s="1"/>
  <c r="F24" i="19"/>
  <c r="P123" i="19"/>
  <c r="J108" i="19"/>
  <c r="P108" i="19" s="1"/>
  <c r="E114" i="19"/>
  <c r="E112" i="19" s="1"/>
  <c r="F120" i="19"/>
  <c r="E122" i="19"/>
  <c r="P122" i="19" s="1"/>
  <c r="H23" i="11"/>
  <c r="P47" i="19"/>
  <c r="P46" i="19"/>
  <c r="D23" i="24"/>
  <c r="D41" i="24"/>
  <c r="D46" i="24" s="1"/>
  <c r="J30" i="19" l="1"/>
  <c r="O24" i="19"/>
  <c r="E120" i="19"/>
  <c r="F28" i="23"/>
  <c r="F35" i="23" s="1"/>
  <c r="F32" i="23" s="1"/>
  <c r="D35" i="23"/>
  <c r="F62" i="22"/>
  <c r="D68" i="22"/>
  <c r="C68" i="22" s="1"/>
  <c r="E72" i="22"/>
  <c r="E65" i="22" s="1"/>
  <c r="E64" i="22" s="1"/>
  <c r="F72" i="22"/>
  <c r="F65" i="22" s="1"/>
  <c r="F64" i="22" s="1"/>
  <c r="D67" i="22"/>
  <c r="C67" i="22" s="1"/>
  <c r="D52" i="24"/>
  <c r="D51" i="24" s="1"/>
  <c r="D36" i="24"/>
  <c r="D34" i="24"/>
  <c r="D32" i="24"/>
  <c r="D28" i="24"/>
  <c r="D24" i="24"/>
  <c r="D22" i="24"/>
  <c r="E35" i="23"/>
  <c r="E32" i="23" s="1"/>
  <c r="E25" i="23"/>
  <c r="E24" i="23" s="1"/>
  <c r="E31" i="23" s="1"/>
  <c r="C81" i="22"/>
  <c r="C79" i="22"/>
  <c r="C78" i="22"/>
  <c r="C77" i="22"/>
  <c r="C73" i="22"/>
  <c r="C69" i="22"/>
  <c r="F61"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D35" i="22"/>
  <c r="C35" i="22" s="1"/>
  <c r="C34" i="22"/>
  <c r="C33" i="22"/>
  <c r="C32" i="22"/>
  <c r="C31" i="22"/>
  <c r="D30" i="22"/>
  <c r="C30" i="22" s="1"/>
  <c r="C27" i="22"/>
  <c r="C26" i="22"/>
  <c r="C25" i="22"/>
  <c r="D24" i="22"/>
  <c r="C24" i="22" s="1"/>
  <c r="C23" i="22"/>
  <c r="C22" i="22"/>
  <c r="D21" i="22"/>
  <c r="C21" i="22" s="1"/>
  <c r="C72" i="22" l="1"/>
  <c r="D45" i="24"/>
  <c r="D66" i="22"/>
  <c r="D65" i="22" s="1"/>
  <c r="C65" i="22" s="1"/>
  <c r="E44" i="22"/>
  <c r="C55" i="22"/>
  <c r="D44" i="24"/>
  <c r="D29" i="22"/>
  <c r="C29" i="22" s="1"/>
  <c r="D32" i="23"/>
  <c r="F63" i="22"/>
  <c r="F82" i="22" s="1"/>
  <c r="F25" i="23"/>
  <c r="F24" i="23" s="1"/>
  <c r="F31" i="23" s="1"/>
  <c r="C32" i="23"/>
  <c r="C24" i="23"/>
  <c r="D33" i="23"/>
  <c r="C33" i="23" s="1"/>
  <c r="E29" i="23"/>
  <c r="E36" i="23" s="1"/>
  <c r="D28" i="22"/>
  <c r="C28" i="22" s="1"/>
  <c r="E20" i="22"/>
  <c r="D44" i="22"/>
  <c r="E63" i="22" l="1"/>
  <c r="E82" i="22" s="1"/>
  <c r="C44" i="22"/>
  <c r="C66" i="22"/>
  <c r="D64" i="22"/>
  <c r="C64" i="22" s="1"/>
  <c r="F29" i="23"/>
  <c r="F36" i="23" s="1"/>
  <c r="D20" i="22"/>
  <c r="D63" i="22" s="1"/>
  <c r="D24" i="23"/>
  <c r="D31" i="23" s="1"/>
  <c r="C31" i="23"/>
  <c r="C29" i="23"/>
  <c r="C36" i="23" s="1"/>
  <c r="G92" i="11"/>
  <c r="D29" i="23" l="1"/>
  <c r="D36" i="23" s="1"/>
  <c r="D82" i="22"/>
  <c r="C82" i="22" s="1"/>
  <c r="C63" i="22"/>
  <c r="C20" i="22"/>
  <c r="J96" i="11"/>
  <c r="J106" i="19"/>
  <c r="P106" i="19" s="1"/>
  <c r="G96" i="11"/>
  <c r="F94" i="19"/>
  <c r="H81" i="11" l="1"/>
  <c r="H84" i="11"/>
  <c r="G84" i="11" s="1"/>
  <c r="F91" i="19"/>
  <c r="F88" i="19" s="1"/>
  <c r="J94" i="19"/>
  <c r="G94" i="19"/>
  <c r="E94" i="19"/>
  <c r="H79" i="11" l="1"/>
  <c r="P94" i="19"/>
  <c r="E63" i="19" l="1"/>
  <c r="P63" i="19" s="1"/>
  <c r="E60" i="19"/>
  <c r="P60" i="19" s="1"/>
  <c r="E61" i="19"/>
  <c r="P61" i="19" s="1"/>
  <c r="E51" i="19"/>
  <c r="P51" i="19" s="1"/>
  <c r="G25" i="11" l="1"/>
  <c r="N99" i="19" l="1"/>
  <c r="M99" i="19"/>
  <c r="L99" i="19"/>
  <c r="I99" i="19"/>
  <c r="H99" i="19"/>
  <c r="G99" i="19"/>
  <c r="F99" i="19"/>
  <c r="J105" i="19"/>
  <c r="P105" i="19" s="1"/>
  <c r="N24" i="19" l="1"/>
  <c r="M24" i="19"/>
  <c r="L24" i="19"/>
  <c r="I24" i="19"/>
  <c r="H24" i="19"/>
  <c r="G24" i="19"/>
  <c r="G48" i="11" l="1"/>
  <c r="N39" i="19" l="1"/>
  <c r="M39" i="19"/>
  <c r="L39" i="19"/>
  <c r="K39" i="19"/>
  <c r="I39" i="19"/>
  <c r="H39" i="19"/>
  <c r="K78" i="19"/>
  <c r="K76" i="19"/>
  <c r="K75" i="19"/>
  <c r="K73" i="19"/>
  <c r="K104" i="19"/>
  <c r="K99" i="19" s="1"/>
  <c r="J104" i="19"/>
  <c r="J121" i="19"/>
  <c r="J97" i="19"/>
  <c r="I125" i="19"/>
  <c r="K125" i="19"/>
  <c r="L125" i="19"/>
  <c r="M125" i="19"/>
  <c r="N125" i="19"/>
  <c r="O125" i="19"/>
  <c r="H125" i="19"/>
  <c r="G125" i="19"/>
  <c r="F125" i="19"/>
  <c r="P104" i="19" l="1"/>
  <c r="J93" i="11"/>
  <c r="G93" i="11"/>
  <c r="J127" i="19" l="1"/>
  <c r="E127" i="19"/>
  <c r="J126" i="19"/>
  <c r="E126" i="19"/>
  <c r="K124" i="19"/>
  <c r="G124" i="19"/>
  <c r="F124" i="19"/>
  <c r="I124" i="19"/>
  <c r="H124" i="19"/>
  <c r="P121" i="19"/>
  <c r="O120" i="19"/>
  <c r="O119" i="19" s="1"/>
  <c r="N120" i="19"/>
  <c r="N119" i="19" s="1"/>
  <c r="M120" i="19"/>
  <c r="M119" i="19" s="1"/>
  <c r="L120" i="19"/>
  <c r="L119" i="19" s="1"/>
  <c r="K120" i="19"/>
  <c r="K119" i="19" s="1"/>
  <c r="I120" i="19"/>
  <c r="I119" i="19" s="1"/>
  <c r="H120" i="19"/>
  <c r="H119" i="19" s="1"/>
  <c r="G120" i="19"/>
  <c r="G119" i="19" s="1"/>
  <c r="F119" i="19"/>
  <c r="E118" i="19"/>
  <c r="P118" i="19" s="1"/>
  <c r="J117" i="19"/>
  <c r="J116" i="19" s="1"/>
  <c r="J115" i="19" s="1"/>
  <c r="J114" i="19" s="1"/>
  <c r="E117" i="19"/>
  <c r="O116" i="19"/>
  <c r="O115" i="19" s="1"/>
  <c r="N116" i="19"/>
  <c r="N115" i="19" s="1"/>
  <c r="M116" i="19"/>
  <c r="M115" i="19" s="1"/>
  <c r="L116" i="19"/>
  <c r="L115" i="19" s="1"/>
  <c r="K116" i="19"/>
  <c r="K115" i="19" s="1"/>
  <c r="K114" i="19" s="1"/>
  <c r="K113" i="19" s="1"/>
  <c r="K112" i="19" s="1"/>
  <c r="K111" i="19" s="1"/>
  <c r="I116" i="19"/>
  <c r="I115" i="19" s="1"/>
  <c r="H116" i="19"/>
  <c r="H115" i="19" s="1"/>
  <c r="G115" i="19"/>
  <c r="F116" i="19"/>
  <c r="F115" i="19" s="1"/>
  <c r="E111" i="19"/>
  <c r="O112" i="19"/>
  <c r="O111" i="19" s="1"/>
  <c r="N112" i="19"/>
  <c r="N111" i="19" s="1"/>
  <c r="M112" i="19"/>
  <c r="M111" i="19" s="1"/>
  <c r="L112" i="19"/>
  <c r="L111" i="19" s="1"/>
  <c r="I112" i="19"/>
  <c r="I111" i="19" s="1"/>
  <c r="H112" i="19"/>
  <c r="H111" i="19" s="1"/>
  <c r="G112" i="19"/>
  <c r="G111" i="19" s="1"/>
  <c r="F111" i="19"/>
  <c r="E103" i="19"/>
  <c r="P103" i="19" s="1"/>
  <c r="J100" i="19"/>
  <c r="J99" i="19" s="1"/>
  <c r="E100" i="19"/>
  <c r="O98" i="19"/>
  <c r="N98" i="19"/>
  <c r="M98" i="19"/>
  <c r="L98" i="19"/>
  <c r="I98" i="19"/>
  <c r="H98" i="19"/>
  <c r="G98" i="19"/>
  <c r="E97" i="19"/>
  <c r="J95" i="19"/>
  <c r="E95" i="19"/>
  <c r="J93" i="19"/>
  <c r="E93" i="19"/>
  <c r="J92" i="19"/>
  <c r="E92" i="19"/>
  <c r="J91" i="19"/>
  <c r="E91" i="19"/>
  <c r="J90" i="19"/>
  <c r="E90" i="19"/>
  <c r="K89" i="19"/>
  <c r="K88" i="19" s="1"/>
  <c r="K87" i="19" s="1"/>
  <c r="J89" i="19"/>
  <c r="E89" i="19"/>
  <c r="O87" i="19"/>
  <c r="N88" i="19"/>
  <c r="N87" i="19" s="1"/>
  <c r="M88" i="19"/>
  <c r="M87" i="19" s="1"/>
  <c r="L88" i="19"/>
  <c r="L87" i="19" s="1"/>
  <c r="I88" i="19"/>
  <c r="I87" i="19" s="1"/>
  <c r="H88" i="19"/>
  <c r="H87" i="19" s="1"/>
  <c r="G88" i="19"/>
  <c r="G87" i="19" s="1"/>
  <c r="F87" i="19"/>
  <c r="J86" i="19"/>
  <c r="E86" i="19"/>
  <c r="J85" i="19"/>
  <c r="E85" i="19"/>
  <c r="J84" i="19"/>
  <c r="E84" i="19"/>
  <c r="J82" i="19"/>
  <c r="E82" i="19"/>
  <c r="J81" i="19"/>
  <c r="E81" i="19"/>
  <c r="J80" i="19"/>
  <c r="E80" i="19"/>
  <c r="J79" i="19"/>
  <c r="E79" i="19"/>
  <c r="J78" i="19"/>
  <c r="E78" i="19"/>
  <c r="J77" i="19"/>
  <c r="E77" i="19"/>
  <c r="J76" i="19"/>
  <c r="E76" i="19"/>
  <c r="J75" i="19"/>
  <c r="E75" i="19"/>
  <c r="J74" i="19"/>
  <c r="E74" i="19"/>
  <c r="J73" i="19"/>
  <c r="E73" i="19"/>
  <c r="J72" i="19"/>
  <c r="E72" i="19"/>
  <c r="O71" i="19"/>
  <c r="O70" i="19" s="1"/>
  <c r="N71" i="19"/>
  <c r="N70" i="19" s="1"/>
  <c r="M71" i="19"/>
  <c r="M70" i="19" s="1"/>
  <c r="L71" i="19"/>
  <c r="L70" i="19" s="1"/>
  <c r="K71" i="19"/>
  <c r="K70" i="19" s="1"/>
  <c r="I71" i="19"/>
  <c r="I70" i="19" s="1"/>
  <c r="H70" i="19"/>
  <c r="G70" i="19"/>
  <c r="F70" i="19"/>
  <c r="J69" i="19"/>
  <c r="E69" i="19"/>
  <c r="J68" i="19"/>
  <c r="E68" i="19"/>
  <c r="O67" i="19"/>
  <c r="O66" i="19" s="1"/>
  <c r="N67" i="19"/>
  <c r="N66" i="19" s="1"/>
  <c r="M67" i="19"/>
  <c r="M66" i="19" s="1"/>
  <c r="L67" i="19"/>
  <c r="L66" i="19" s="1"/>
  <c r="K67" i="19"/>
  <c r="K66" i="19" s="1"/>
  <c r="I67" i="19"/>
  <c r="I66" i="19" s="1"/>
  <c r="H67" i="19"/>
  <c r="H66" i="19" s="1"/>
  <c r="G67" i="19"/>
  <c r="G66" i="19" s="1"/>
  <c r="F67" i="19"/>
  <c r="F66" i="19" s="1"/>
  <c r="J65" i="19"/>
  <c r="E65" i="19"/>
  <c r="J64" i="19"/>
  <c r="E64" i="19"/>
  <c r="J62" i="19"/>
  <c r="E62" i="19"/>
  <c r="J59" i="19"/>
  <c r="E59" i="19"/>
  <c r="J58" i="19"/>
  <c r="E58" i="19"/>
  <c r="J57" i="19"/>
  <c r="E57" i="19"/>
  <c r="J56" i="19"/>
  <c r="E56" i="19"/>
  <c r="O55" i="19"/>
  <c r="O54" i="19" s="1"/>
  <c r="N55" i="19"/>
  <c r="N54" i="19" s="1"/>
  <c r="M55" i="19"/>
  <c r="M54" i="19" s="1"/>
  <c r="L55" i="19"/>
  <c r="L54" i="19" s="1"/>
  <c r="K55" i="19"/>
  <c r="K54" i="19" s="1"/>
  <c r="I55" i="19"/>
  <c r="I54" i="19" s="1"/>
  <c r="H55" i="19"/>
  <c r="H54" i="19" s="1"/>
  <c r="G55" i="19"/>
  <c r="G54" i="19" s="1"/>
  <c r="F54" i="19"/>
  <c r="E52" i="19"/>
  <c r="P52" i="19" s="1"/>
  <c r="E50" i="19"/>
  <c r="E49" i="19"/>
  <c r="P49" i="19" s="1"/>
  <c r="E48" i="19"/>
  <c r="P48" i="19" s="1"/>
  <c r="P44" i="19"/>
  <c r="E43" i="19"/>
  <c r="J42" i="19"/>
  <c r="G42" i="19"/>
  <c r="G39" i="19" s="1"/>
  <c r="E42" i="19"/>
  <c r="J41" i="19"/>
  <c r="E41" i="19"/>
  <c r="J40" i="19"/>
  <c r="E40" i="19"/>
  <c r="N38" i="19"/>
  <c r="M38" i="19"/>
  <c r="K38" i="19"/>
  <c r="H38" i="19"/>
  <c r="F38" i="19"/>
  <c r="L38" i="19"/>
  <c r="I38" i="19"/>
  <c r="E35" i="19"/>
  <c r="E34" i="19"/>
  <c r="E33" i="19"/>
  <c r="E32" i="19"/>
  <c r="J31" i="19"/>
  <c r="E31" i="19"/>
  <c r="E30" i="19"/>
  <c r="P30" i="19" s="1"/>
  <c r="J29" i="19"/>
  <c r="E29" i="19"/>
  <c r="E28" i="19"/>
  <c r="J27" i="19"/>
  <c r="E27" i="19"/>
  <c r="J26" i="19"/>
  <c r="E26" i="19"/>
  <c r="E25" i="19"/>
  <c r="O23" i="19"/>
  <c r="N23" i="19"/>
  <c r="M23" i="19"/>
  <c r="I23" i="19"/>
  <c r="H23" i="19"/>
  <c r="G23" i="19"/>
  <c r="F23" i="19"/>
  <c r="L23" i="19"/>
  <c r="E88" i="19" l="1"/>
  <c r="E87" i="19" s="1"/>
  <c r="E71" i="19"/>
  <c r="E70" i="19" s="1"/>
  <c r="E39" i="19"/>
  <c r="J39" i="19"/>
  <c r="J38" i="19" s="1"/>
  <c r="P41" i="19"/>
  <c r="J24" i="19"/>
  <c r="J23" i="19" s="1"/>
  <c r="E99" i="19"/>
  <c r="P99" i="19" s="1"/>
  <c r="P100" i="19"/>
  <c r="E116" i="19"/>
  <c r="E115" i="19" s="1"/>
  <c r="P115" i="19" s="1"/>
  <c r="P114" i="19"/>
  <c r="J113" i="19"/>
  <c r="J112" i="19" s="1"/>
  <c r="J111" i="19" s="1"/>
  <c r="P111" i="19" s="1"/>
  <c r="E24" i="19"/>
  <c r="P40" i="19"/>
  <c r="M128" i="19"/>
  <c r="P34" i="19"/>
  <c r="P92" i="19"/>
  <c r="E55" i="19"/>
  <c r="E54" i="19" s="1"/>
  <c r="P26" i="19"/>
  <c r="P32" i="19"/>
  <c r="P93" i="19"/>
  <c r="P72" i="19"/>
  <c r="P89" i="19"/>
  <c r="P90" i="19"/>
  <c r="P73" i="19"/>
  <c r="P81" i="19"/>
  <c r="P86" i="19"/>
  <c r="P75" i="19"/>
  <c r="P76" i="19"/>
  <c r="P80" i="19"/>
  <c r="P85" i="19"/>
  <c r="P42" i="19"/>
  <c r="P58" i="19"/>
  <c r="P74" i="19"/>
  <c r="P82" i="19"/>
  <c r="J71" i="19"/>
  <c r="J70" i="19" s="1"/>
  <c r="G38" i="19"/>
  <c r="G128" i="19" s="1"/>
  <c r="E119" i="19"/>
  <c r="P35" i="19"/>
  <c r="P50" i="19"/>
  <c r="P68" i="19"/>
  <c r="P57" i="19"/>
  <c r="P64" i="19"/>
  <c r="P43" i="19"/>
  <c r="P25" i="19"/>
  <c r="P59" i="19"/>
  <c r="P69" i="19"/>
  <c r="P126" i="19"/>
  <c r="E125" i="19"/>
  <c r="E124" i="19" s="1"/>
  <c r="J67" i="19"/>
  <c r="J66" i="19" s="1"/>
  <c r="P33" i="19"/>
  <c r="L128" i="19"/>
  <c r="P31" i="19"/>
  <c r="P28" i="19"/>
  <c r="J125" i="19"/>
  <c r="J124" i="19" s="1"/>
  <c r="J120" i="19"/>
  <c r="J119" i="19" s="1"/>
  <c r="P78" i="19"/>
  <c r="P95" i="19"/>
  <c r="P91" i="19"/>
  <c r="P127" i="19"/>
  <c r="P65" i="19"/>
  <c r="P77" i="19"/>
  <c r="P117" i="19"/>
  <c r="O128" i="19"/>
  <c r="I128" i="19"/>
  <c r="P29" i="19"/>
  <c r="P97" i="19"/>
  <c r="P62" i="19"/>
  <c r="P27" i="19"/>
  <c r="J88" i="19"/>
  <c r="J87" i="19" s="1"/>
  <c r="N128" i="19"/>
  <c r="J55" i="19"/>
  <c r="J54" i="19" s="1"/>
  <c r="P84" i="19"/>
  <c r="H128" i="19"/>
  <c r="E67" i="19"/>
  <c r="P56" i="19"/>
  <c r="P79" i="19"/>
  <c r="P71" i="19" l="1"/>
  <c r="P112" i="19"/>
  <c r="P113" i="19"/>
  <c r="P88" i="19"/>
  <c r="P87" i="19"/>
  <c r="E98" i="19"/>
  <c r="F98" i="19" s="1"/>
  <c r="F128" i="19" s="1"/>
  <c r="E23" i="19"/>
  <c r="P23" i="19" s="1"/>
  <c r="P24" i="19"/>
  <c r="J98" i="19"/>
  <c r="P116" i="19"/>
  <c r="G94" i="11"/>
  <c r="P120" i="19"/>
  <c r="P70" i="19"/>
  <c r="P119" i="19"/>
  <c r="P125" i="19"/>
  <c r="P124" i="19"/>
  <c r="P54" i="19"/>
  <c r="P55" i="19"/>
  <c r="E66" i="19"/>
  <c r="P66" i="19" s="1"/>
  <c r="P67" i="19"/>
  <c r="E38" i="19"/>
  <c r="P38" i="19" s="1"/>
  <c r="P39" i="19"/>
  <c r="J79" i="11"/>
  <c r="J128" i="19" l="1"/>
  <c r="P98" i="19"/>
  <c r="G79" i="11"/>
  <c r="E128" i="19"/>
  <c r="P128" i="19" l="1"/>
  <c r="I29" i="11"/>
  <c r="I24" i="11" s="1"/>
  <c r="G24" i="11" s="1"/>
  <c r="H104" i="11"/>
  <c r="H103" i="11" s="1"/>
  <c r="I104" i="11"/>
  <c r="I103" i="11" s="1"/>
  <c r="J104" i="11"/>
  <c r="J103" i="11" s="1"/>
  <c r="G104" i="11"/>
  <c r="G103" i="11" s="1"/>
  <c r="G81" i="11" l="1"/>
  <c r="G66" i="11" l="1"/>
  <c r="G57" i="11"/>
  <c r="G58" i="11"/>
  <c r="H63" i="11" l="1"/>
  <c r="G76" i="11"/>
  <c r="G77" i="11"/>
  <c r="J23" i="11" l="1"/>
  <c r="G30" i="11"/>
  <c r="G26" i="11" l="1"/>
  <c r="G62" i="11" l="1"/>
  <c r="H89" i="11" l="1"/>
  <c r="G89" i="11" s="1"/>
  <c r="J94" i="11"/>
  <c r="J89" i="11" s="1"/>
  <c r="J88" i="11" l="1"/>
  <c r="G87" i="11"/>
  <c r="G85" i="11"/>
  <c r="G83" i="11"/>
  <c r="G82" i="11"/>
  <c r="G80" i="11"/>
  <c r="J64" i="11"/>
  <c r="I64" i="11"/>
  <c r="G64" i="11" s="1"/>
  <c r="G75" i="11"/>
  <c r="G74" i="11"/>
  <c r="G73" i="11"/>
  <c r="G72" i="11"/>
  <c r="G71" i="11"/>
  <c r="G70" i="11"/>
  <c r="G69" i="11"/>
  <c r="G68" i="11"/>
  <c r="G67" i="11"/>
  <c r="G65" i="11"/>
  <c r="I53" i="11"/>
  <c r="G53" i="11" s="1"/>
  <c r="J53" i="11"/>
  <c r="G59" i="11"/>
  <c r="G55" i="11"/>
  <c r="G54" i="11"/>
  <c r="G43" i="11"/>
  <c r="G44" i="11"/>
  <c r="G45" i="11"/>
  <c r="G46" i="11"/>
  <c r="G47" i="11"/>
  <c r="G42" i="11"/>
  <c r="G29" i="11" l="1"/>
  <c r="G31" i="11"/>
  <c r="G32" i="11"/>
  <c r="G33" i="11"/>
  <c r="G34" i="11"/>
  <c r="G35" i="11"/>
  <c r="G28" i="11"/>
  <c r="G27" i="11"/>
  <c r="I23" i="11" l="1"/>
  <c r="G23" i="11" l="1"/>
  <c r="J78" i="11"/>
  <c r="I78" i="11"/>
  <c r="J63" i="11"/>
  <c r="J61" i="11"/>
  <c r="J60" i="11" s="1"/>
  <c r="I61" i="11"/>
  <c r="I60" i="11" s="1"/>
  <c r="H61" i="11"/>
  <c r="J52" i="11"/>
  <c r="H52" i="11"/>
  <c r="J40" i="11"/>
  <c r="H40" i="11"/>
  <c r="H60" i="11" l="1"/>
  <c r="G61" i="11"/>
  <c r="I63" i="11"/>
  <c r="G63" i="11" s="1"/>
  <c r="J110" i="11"/>
  <c r="I88" i="11"/>
  <c r="I52" i="11"/>
  <c r="G52" i="11" s="1"/>
  <c r="H88" i="11"/>
  <c r="I40" i="11"/>
  <c r="G40" i="11" s="1"/>
  <c r="I110" i="11" l="1"/>
  <c r="G60" i="11"/>
  <c r="G88" i="11"/>
  <c r="H78" i="11"/>
  <c r="H110" i="11" s="1"/>
  <c r="G78" i="11" l="1"/>
  <c r="G110" i="11" s="1"/>
  <c r="K98" i="19"/>
  <c r="K128" i="19" s="1"/>
</calcChain>
</file>

<file path=xl/sharedStrings.xml><?xml version="1.0" encoding="utf-8"?>
<sst xmlns="http://schemas.openxmlformats.org/spreadsheetml/2006/main" count="1498" uniqueCount="665">
  <si>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</si>
  <si>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</si>
  <si>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</si>
  <si>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</si>
  <si>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</si>
  <si>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</si>
  <si>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</si>
  <si>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</si>
  <si>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</si>
  <si>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</si>
  <si>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</si>
  <si>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</si>
  <si>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</si>
  <si>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</si>
  <si>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</si>
  <si>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</si>
  <si>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</si>
  <si>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</si>
  <si>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</si>
  <si>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</si>
  <si>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</si>
  <si>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</si>
  <si>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</si>
  <si>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</si>
  <si>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</si>
  <si>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</si>
  <si>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</si>
  <si>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</si>
  <si>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</si>
  <si>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</si>
  <si>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</si>
  <si>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</si>
  <si>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</si>
  <si>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</si>
  <si>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</si>
  <si>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</si>
  <si>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</si>
  <si>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</si>
  <si>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</si>
  <si>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</si>
  <si>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</si>
  <si>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</si>
  <si>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</si>
  <si>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</si>
  <si>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</si>
  <si>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</si>
  <si>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</si>
  <si>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</si>
  <si>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</si>
  <si>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</si>
  <si>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</si>
  <si>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</si>
  <si>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</si>
  <si>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</si>
  <si>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</si>
  <si>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</si>
  <si>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</si>
  <si>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</si>
  <si>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</si>
  <si>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</si>
  <si>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</si>
  <si>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</si>
  <si>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</si>
  <si>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</si>
  <si>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</si>
  <si>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</si>
  <si>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</si>
  <si>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</si>
  <si>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</si>
  <si>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</si>
  <si>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</si>
  <si>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</si>
  <si>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</si>
  <si>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</si>
  <si>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</si>
  <si>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</si>
  <si>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</si>
  <si>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</si>
  <si>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</si>
  <si>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</si>
  <si>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</si>
  <si>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</si>
  <si>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</si>
  <si>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</si>
  <si>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</si>
  <si>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</si>
  <si>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</si>
  <si>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</si>
  <si>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</si>
  <si>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</si>
  <si>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</si>
  <si>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</si>
  <si>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</si>
  <si>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</si>
  <si>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</si>
  <si>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</si>
  <si>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</si>
  <si>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</si>
  <si>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</si>
  <si>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</si>
  <si>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</si>
  <si>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</si>
  <si>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</si>
  <si>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</si>
  <si>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</si>
  <si>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</si>
  <si>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</si>
  <si>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</si>
  <si>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</si>
  <si>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</si>
  <si>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</si>
  <si>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</si>
  <si>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</si>
  <si>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</si>
  <si>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</si>
  <si>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</si>
  <si>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</si>
  <si>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</si>
  <si>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</si>
  <si>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</si>
  <si>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</si>
  <si>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</si>
  <si>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</si>
  <si>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</si>
  <si>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</si>
  <si>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</si>
  <si>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</si>
  <si>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</si>
  <si>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</si>
  <si>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</si>
  <si>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</si>
  <si>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</si>
  <si>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</si>
  <si>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</si>
  <si>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</si>
  <si>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</si>
  <si>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</si>
  <si>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</si>
  <si>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</si>
  <si>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</si>
  <si>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</si>
  <si>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</si>
  <si>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</si>
  <si>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</si>
  <si>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</si>
  <si>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</si>
  <si>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</si>
  <si>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</si>
  <si>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</si>
  <si>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</si>
  <si>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</si>
  <si>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</si>
  <si>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</si>
  <si>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</si>
  <si>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</si>
  <si>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</si>
  <si>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</si>
  <si>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</si>
  <si>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</si>
  <si>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</si>
  <si>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</si>
  <si>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</si>
  <si>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</si>
  <si>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</si>
  <si>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</si>
  <si>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</si>
  <si>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</si>
  <si>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</si>
  <si>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</si>
  <si>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</si>
  <si>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</si>
  <si>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</si>
  <si>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</si>
  <si>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</si>
  <si>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</si>
  <si>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</si>
  <si>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</si>
  <si>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</si>
  <si>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</si>
  <si>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</si>
  <si>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</si>
  <si>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</si>
  <si>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</si>
  <si>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</si>
  <si>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</si>
  <si>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</si>
  <si>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</si>
  <si>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</si>
  <si>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</si>
  <si>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</si>
  <si>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</si>
  <si>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</si>
  <si>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</si>
  <si>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</si>
  <si>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</si>
  <si>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</si>
  <si>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</si>
  <si>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</si>
  <si>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</si>
  <si>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</si>
  <si>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</si>
  <si>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</si>
  <si>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</si>
  <si>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</si>
  <si>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</si>
  <si>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</si>
  <si>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</si>
  <si>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</si>
  <si>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</si>
  <si>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</si>
  <si>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</si>
  <si>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</si>
  <si>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</si>
  <si>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</si>
  <si>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</si>
  <si>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</si>
  <si>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</si>
  <si>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</si>
  <si>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</si>
  <si>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</si>
  <si>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</si>
  <si>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</si>
  <si>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</si>
  <si>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</si>
  <si>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</si>
  <si>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</si>
  <si>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</si>
  <si>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</si>
  <si>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</si>
  <si>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</si>
  <si>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</si>
  <si>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</si>
  <si>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Рішення ЮМР від 28.10.2022 року           №1092-VIIІ з внесеними змінами від  23.08. 2023 року   № 1435  -VIII шляхом викладення у новій редакції</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</si>
  <si>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</si>
  <si>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</si>
  <si>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Рішення ЮМР від 22.07.2021 року №480-VIІІ з внесеними змінами від 04.05.2023 року № 1325-VIII  шляхом викладення  у новій редакції</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</si>
  <si>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</si>
  <si>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</si>
  <si>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</si>
  <si>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 xml:space="preserve">Рішення ЮМР від 22.07.2021 року № 474-VІІІ з внесеними змінами  від  09.03.2023 року   № 1306- VІІІ  шляхом викладення в новій редакції </t>
  </si>
  <si>
    <t>0212152</t>
  </si>
  <si>
    <t>0763</t>
  </si>
  <si>
    <t xml:space="preserve">Рішення ЮМР від 22.07.2021 року № 473-VІІІ з внесеними змінами  від  26.10.2023 року № 1502 - VІІІ шляхом викладення в новій редакції </t>
  </si>
  <si>
    <t>Програма розвитку фізичної культури і спорту в Южненській міській територіальній  громаді на 2024-2026 роки</t>
  </si>
  <si>
    <t xml:space="preserve">Рішення ЮМР від 13.07.2023 року № 1401-VIІI </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</si>
  <si>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</si>
  <si>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</si>
  <si>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</si>
  <si>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Рішення ЮМР від 23.12.2021 року  №  900-VIIІ з внесеними змінами від 26.10. 2023 року № 1510  -VIIІ шляхом викладення у новій редакції</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</si>
  <si>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</si>
  <si>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Рішення ЮМР від 18.06.2020 року № 1760-VII з внесеними змінами від 13.07.2023 року  № 1405 -VIIІ шляхом викладення у новій редакції</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</si>
  <si>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</si>
  <si>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 xml:space="preserve">Рішення ЮМР від 07.03.2023 року № 1299-VIIІ  з внесеними змінами  від 26.10. 2023 року   № 1508  -VIIІ  шляхом викладення у новій редакції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</si>
  <si>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</si>
  <si>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</si>
  <si>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</si>
  <si>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</si>
  <si>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</si>
  <si>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 Екологічна програма заходів з охорони навколишнього природного середовища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</si>
  <si>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</si>
  <si>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</si>
  <si>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</si>
  <si>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</si>
  <si>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</si>
  <si>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</si>
  <si>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</si>
  <si>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</si>
  <si>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</si>
  <si>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</si>
  <si>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</si>
  <si>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</si>
  <si>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</si>
  <si>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</si>
  <si>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</si>
  <si>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</si>
  <si>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</si>
  <si>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</si>
  <si>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</si>
  <si>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</si>
  <si>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</si>
  <si>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</si>
  <si>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</si>
  <si>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</si>
  <si>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</si>
  <si>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</si>
  <si>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</si>
  <si>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</si>
  <si>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Рішення ЮМР від 23.08.2023 року № 1431- VIIІ з внесеними змінами від  14.12.2023 року   №  1562-VIIІ шляхом викладення у новій редакції</t>
  </si>
  <si>
    <t>Рішення ЮМР від 23.08.2023 року № 1433- VIIІ з внесеними змінами від  14.12.2023 року   № 1563 -VIIІ шляхом викладення у новій редакції</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</si>
  <si>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</si>
  <si>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</si>
  <si>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</si>
  <si>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</si>
  <si>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(пункт 5)"</t>
  </si>
  <si>
    <t>до рішення Южненської міської ради</t>
  </si>
  <si>
    <t xml:space="preserve">"Про бюджет  Южненської міської  </t>
  </si>
  <si>
    <t>територіальної громади на 2024 рік"</t>
  </si>
  <si>
    <t>(грн)</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</si>
  <si>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</si>
  <si>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</si>
  <si>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</si>
  <si>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</si>
  <si>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</si>
  <si>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</si>
  <si>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</si>
  <si>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</si>
  <si>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</si>
  <si>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</si>
  <si>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</si>
  <si>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</si>
  <si>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</si>
  <si>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</si>
  <si>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</si>
  <si>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</si>
  <si>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</si>
  <si>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</si>
  <si>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</si>
  <si>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 xml:space="preserve">Видатки на проведення експертної грошової оцінки земельних ділянок, що підлягають продажу </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</si>
  <si>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</si>
  <si>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</si>
  <si>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</si>
  <si>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</si>
  <si>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2023-2024 роки</t>
  </si>
  <si>
    <t>проектні роботи</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</si>
  <si>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області,в т.ч.:</t>
  </si>
  <si>
    <t>коригування проектної документації</t>
  </si>
  <si>
    <t>х</t>
  </si>
  <si>
    <t>(пункт 4)"</t>
  </si>
  <si>
    <t>Додаток 3</t>
  </si>
  <si>
    <t>від  14  грудня  2023 року</t>
  </si>
  <si>
    <t>2021-2024 роки</t>
  </si>
  <si>
    <t xml:space="preserve"> проектні роботи</t>
  </si>
  <si>
    <t>1517322</t>
  </si>
  <si>
    <t>7322</t>
  </si>
  <si>
    <t>0443</t>
  </si>
  <si>
    <t>коригування проектно-вишукувальної документації</t>
  </si>
  <si>
    <t>Будівництво  медичних установ та закладів</t>
  </si>
  <si>
    <t>Програма розвитку інфраструктури Южненської міської територіальної громади на 2020-2024 роки</t>
  </si>
  <si>
    <t>-</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</si>
  <si>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</si>
  <si>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проектно-вишукувальні роботи</t>
  </si>
  <si>
    <t xml:space="preserve">Рішення ЮМР від 13.07.2023 року № 1404-VII з внесеними змінами  від  26.10. 2023 року  № 1505 -VIIІ  шляхом викладення у новій редакції </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</si>
  <si>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</si>
  <si>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</si>
  <si>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</si>
  <si>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</si>
  <si>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</si>
  <si>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</si>
  <si>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</si>
  <si>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</si>
  <si>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</si>
  <si>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</si>
  <si>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</si>
  <si>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</si>
  <si>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</si>
  <si>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</si>
  <si>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</si>
  <si>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</si>
  <si>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</si>
  <si>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</si>
  <si>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</si>
  <si>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</si>
  <si>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</si>
  <si>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</si>
  <si>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</si>
  <si>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</si>
  <si>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</si>
  <si>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</si>
  <si>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</si>
  <si>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</si>
  <si>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</si>
  <si>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</si>
  <si>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</si>
  <si>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</si>
  <si>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</si>
  <si>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</si>
  <si>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</si>
  <si>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</si>
  <si>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</si>
  <si>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</si>
  <si>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</si>
  <si>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</si>
  <si>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</si>
  <si>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</si>
  <si>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</si>
  <si>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</si>
  <si>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</si>
  <si>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</si>
  <si>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</si>
  <si>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</si>
  <si>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</si>
  <si>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</si>
  <si>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</si>
  <si>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</si>
  <si>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</si>
  <si>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</si>
  <si>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</si>
  <si>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</si>
  <si>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</si>
  <si>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</si>
  <si>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</si>
  <si>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</si>
  <si>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</si>
  <si>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</si>
  <si>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</si>
  <si>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</si>
  <si>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</si>
  <si>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</si>
  <si>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</si>
  <si>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</si>
  <si>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</si>
  <si>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</si>
  <si>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</si>
  <si>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</si>
  <si>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</si>
  <si>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</si>
  <si>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</si>
  <si>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</si>
  <si>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</si>
  <si>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</si>
  <si>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</si>
  <si>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</si>
  <si>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</si>
  <si>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</si>
  <si>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</si>
  <si>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</si>
  <si>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</si>
  <si>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</si>
  <si>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</si>
  <si>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</si>
  <si>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</si>
  <si>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</si>
  <si>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</si>
  <si>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</si>
  <si>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</si>
  <si>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</si>
  <si>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</si>
  <si>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</si>
  <si>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</si>
  <si>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</si>
  <si>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</si>
  <si>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</si>
  <si>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</si>
  <si>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</si>
  <si>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</si>
  <si>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</si>
  <si>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</si>
  <si>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</si>
  <si>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</si>
  <si>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</si>
  <si>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</si>
  <si>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</si>
  <si>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</si>
  <si>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</si>
  <si>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</si>
  <si>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</si>
  <si>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</si>
  <si>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</si>
  <si>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</si>
  <si>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</si>
  <si>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</si>
  <si>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</si>
  <si>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</si>
  <si>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</si>
  <si>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 xml:space="preserve">                                                                                                                            "Про  бюджет Южненської міської </t>
  </si>
  <si>
    <r>
      <t xml:space="preserve">                                                                                                             </t>
    </r>
    <r>
      <rPr>
        <u/>
        <sz val="12"/>
        <rFont val="Times New Roman"/>
        <family val="1"/>
        <charset val="204"/>
      </rPr>
      <t>від 14 грудня  2023 року</t>
    </r>
  </si>
  <si>
    <r>
      <t xml:space="preserve">                                                                                         </t>
    </r>
    <r>
      <rPr>
        <u/>
        <sz val="12"/>
        <rFont val="Times New Roman"/>
        <family val="1"/>
        <charset val="204"/>
      </rPr>
      <t xml:space="preserve"> № 1604-VIІІ</t>
    </r>
  </si>
  <si>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</si>
  <si>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</si>
  <si>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</si>
  <si>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</si>
  <si>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</si>
  <si>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</si>
  <si>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</si>
  <si>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</si>
  <si>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</si>
  <si>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</si>
  <si>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</si>
  <si>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</si>
  <si>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</si>
  <si>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</si>
  <si>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</si>
  <si>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</si>
  <si>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</si>
  <si>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</si>
  <si>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</si>
  <si>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</si>
  <si>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</si>
  <si>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</si>
  <si>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</si>
  <si>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</si>
  <si>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</si>
  <si>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</si>
  <si>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</si>
  <si>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</si>
  <si>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</si>
  <si>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</si>
  <si>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</si>
  <si>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</si>
  <si>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</si>
  <si>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</si>
  <si>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</si>
  <si>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</si>
  <si>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</si>
  <si>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 xml:space="preserve">Рішення ЮМР від 04.03.2022 року № 948-VIІІ з внесеними змінами  від  14.12.2023 року №  1568-VIII, шляхом викладення  у новій редакції  </t>
  </si>
  <si>
    <t>Комплексна цільова програма "Електронна громада" на 2024-2026 роки</t>
  </si>
  <si>
    <t>Рішення ЮМР від 26.10.2023 року № 1511-VIIІ з внесеними змінами від 28.03.2024 року №      -VIII, шляхом викладення у новій редакції</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</si>
  <si>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</si>
  <si>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 xml:space="preserve">Рішення ЮМР від 14.12.2023 року № 1567-VIIІ  </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</si>
  <si>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</si>
  <si>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</si>
  <si>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</si>
  <si>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</si>
  <si>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 xml:space="preserve">Розподіл коштів бюджету розвитку на  2024 рік </t>
  </si>
  <si>
    <t>Інші заходи у сфері зв'язку, телекомунікації та інформатики</t>
  </si>
  <si>
    <t>1511021</t>
  </si>
  <si>
    <t>Коригування проектної документації "Капітальний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</si>
  <si>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</si>
  <si>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</si>
  <si>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Проєктні роботи "Капітальний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t>
  </si>
  <si>
    <t>2024 рік</t>
  </si>
  <si>
    <t>2020,2023-2024 роки</t>
  </si>
  <si>
    <t xml:space="preserve">проектні роботи </t>
  </si>
  <si>
    <t>Проєктні роботи «Реконструкція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t>
  </si>
  <si>
    <t>Капітальний ремонт твердого покриття (пішохідна доріжка) вздовж житлових будинків по просп. Миру, 15, 17, 25 м.Южного Одеської області, в т.ч.:</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</si>
  <si>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</si>
  <si>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</si>
  <si>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</si>
  <si>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</si>
  <si>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</si>
  <si>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</si>
  <si>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</si>
  <si>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</si>
  <si>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</si>
  <si>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</si>
  <si>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Проєктні роботи "Капітальний ремонт внутрішніх електромереж приміщень гуртожитку будівлі комунальної власності по вул. Новобілярській, буд. 26-Б, м. Южного,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</si>
  <si>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</si>
  <si>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</si>
  <si>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</si>
  <si>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</si>
  <si>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</si>
  <si>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</si>
  <si>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</si>
  <si>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</si>
  <si>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 xml:space="preserve">                                                                                                     "Додаток 5</t>
  </si>
  <si>
    <t xml:space="preserve">                                                                                                                                  до рішення Южненської міської ради</t>
  </si>
  <si>
    <t xml:space="preserve">                                                                                                                               територіальної громади  на 2024 рік"</t>
  </si>
  <si>
    <t xml:space="preserve">                                             (пункт 3)"</t>
  </si>
  <si>
    <t xml:space="preserve">Секретар Южненської міської ради                                                                                                       Ігор ЧУГУННИКОВ                                                         </t>
  </si>
  <si>
    <t>Додаток 5</t>
  </si>
  <si>
    <t>від 14 грудня 2023 року</t>
  </si>
  <si>
    <t xml:space="preserve">Секретар Южненської міської ради                                                                                                                                Ігор ЧУГУННИКОВ                                                         </t>
  </si>
  <si>
    <t xml:space="preserve">Секретар Южненської міської ради                                                                                                                                                       Ігор ЧУГУННИКОВ                                                         </t>
  </si>
  <si>
    <t>(пункти 1.2)</t>
  </si>
  <si>
    <t>(пункти 1.3, 1.4)</t>
  </si>
  <si>
    <t>(пункти 1.5)</t>
  </si>
  <si>
    <t>"Додаток 7</t>
  </si>
  <si>
    <t>"Додаток  8</t>
  </si>
  <si>
    <t>Додаток 6</t>
  </si>
  <si>
    <t>(пункт 1.2)</t>
  </si>
  <si>
    <t>4</t>
  </si>
  <si>
    <t xml:space="preserve">Інша діяльність у сфері державного управління </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</si>
  <si>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</si>
  <si>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</si>
  <si>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Про затвердження програми "Поліцейський офіцер громади" Южненської міської територіальної громади на 2022-2024 роки</t>
  </si>
  <si>
    <t>9800</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</si>
  <si>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</si>
  <si>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Капітальні трансферти органам державного управління інших рівнів</t>
  </si>
  <si>
    <t>Рішення ЮМР від 07.03.2023 року № 1299-VIIІ з внесеними змінами від 29.03.2024 року № 1673-VIII, шляхом викладення у новій редакції</t>
  </si>
  <si>
    <t xml:space="preserve">Рішення ЮМР від 29.03.2024 року № 1680           -VIІІ </t>
  </si>
  <si>
    <t xml:space="preserve">Рішення ЮМР від 09.12.2021 року № 834-VIІІ з внесеними змінами  від  29.03.2024 року № 1682 -VIII, шляхом викладення  у новій редакції  </t>
  </si>
  <si>
    <t>Рішення ЮМР від 25.07.2019 року №1438-VII з внесеними змінами  від  29.03.2024 року № 1692 -VIII, шляхом викладення у новій редакції</t>
  </si>
  <si>
    <t>Рішення Южненської міської ради від 20.08.2020 року № 1828-VII з внесеними змінами від  29.03.2024 року  № 1690-VIIІ шляхом викладення у новій редакції</t>
  </si>
  <si>
    <t xml:space="preserve">Рішення ЮМР від 28.10.2022 року            № 1091 -VIIІ </t>
  </si>
  <si>
    <t>від                              2024 року</t>
  </si>
  <si>
    <t xml:space="preserve">  Перелік об'єктів,  видатки по яких  здійснюються у 2024 році  на ремонт доріг комунальної власності</t>
  </si>
  <si>
    <t>грн.</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</si>
  <si>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</si>
  <si>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</si>
  <si>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</si>
  <si>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Перелік  доріг  комунальної власності , їх місцезнаходження</t>
  </si>
  <si>
    <t>Разом видатків на поточний рік (загальний фонд)</t>
  </si>
  <si>
    <t>Управління житлово-комунального господарства   Южненської міської ради Одеського району Одеської області</t>
  </si>
  <si>
    <t>Поточний ремонт  проїзду №4 провулку IV Проектного  с. Сичавка Одеського району Одеської області</t>
  </si>
  <si>
    <t>Поточний ремонт вул. Центральної  с.Сичавка  Одеського району Одеської області</t>
  </si>
  <si>
    <t>Поточний ремонт вул. Цвєтаєва  с.Сичавка  Одеського району Одеської області</t>
  </si>
  <si>
    <t>Поточний ремонт  вул. Філатова  с.Сичавка  Одеського району Одеської області</t>
  </si>
  <si>
    <t>Поточний ремонт   вул. Шевченка  с.Сичавка  Одеського району Одеської області</t>
  </si>
  <si>
    <t>Поточний ремонт   вул. Чорноморської с.Сичавка  Одеського району Одеської області</t>
  </si>
  <si>
    <t>Поточний ремонт вул. Прикордонної с.Сичавка  Одеського району Одеської області</t>
  </si>
  <si>
    <t>Поточний ремонт  вул. Індустріальної  с. Нові Білярі  Одеського району Одеської області</t>
  </si>
  <si>
    <t>Поточний ремонт  вул. Степової с. Нові Білярі  Одеського району Одеської області</t>
  </si>
  <si>
    <t>Поточний ремонт  вул. Віталія Гуляєва с. Нові Білярі  Одеського району Одеської області</t>
  </si>
  <si>
    <t>Поточний ремонт  вул. Північної  с. Нові Білярі  Одеського району Одеської області</t>
  </si>
  <si>
    <t xml:space="preserve">Поточний ремонт вул. Заводська-1 с. Нові Білярі  Одеського району Одеської області </t>
  </si>
  <si>
    <t xml:space="preserve">Поточний ремонт Під’їзної дороги до с. Булдинка  Одеського району Одеської області </t>
  </si>
  <si>
    <t xml:space="preserve">Поточний ремонт вул. Лиманної с. Булдинка  Одеського району Одеської області </t>
  </si>
  <si>
    <t xml:space="preserve">Утримання та розвиток автомобільних доріг та дорожньої інфраструктури за рахунок коштів місцевого бюджету </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</si>
  <si>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</si>
  <si>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</si>
  <si>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Приморської  (від просп. Григорівського десанту до  вул. Іванова)  м. Южного Одеської області</t>
  </si>
  <si>
    <t>Поточний ремонт  вул. Комунальної  м. Южного Одеської області</t>
  </si>
  <si>
    <t>Поточний ремонт просп. Григорівського десанту м. Южного Одеської області</t>
  </si>
  <si>
    <t>Поточний ремонт  вул. Т.Г. Шевченка  м. Южного Одеської області</t>
  </si>
  <si>
    <t>Поточний ремонт  вул. Іванова м. Южного Одеської  області</t>
  </si>
  <si>
    <t>ВСЬОГО</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</si>
  <si>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</si>
  <si>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</si>
  <si>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</si>
  <si>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</si>
  <si>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</si>
  <si>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</si>
  <si>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</si>
  <si>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</si>
  <si>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</si>
  <si>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</si>
  <si>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</si>
  <si>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від                       2024 року</t>
  </si>
  <si>
    <t>№            -VIII</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</si>
  <si>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</si>
  <si>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 xml:space="preserve">Рішення ЮМР від 04.03.2022 року № 948-VIІІ з внесеними змінами  від                  2024 року №         -VIII, шляхом викладення  у новій редакції  </t>
  </si>
  <si>
    <t>Рішення ЮМР від 22.07.2021 року № 470-VІІІ з внесеними змінами від                    2024 року №              -VIIІ, шляхом викладення у новій редакції</t>
  </si>
  <si>
    <t>Програма оздоровлення та відпочинку дітей міста Южного на період 2022-2024 роки</t>
  </si>
  <si>
    <t>Рішення ЮМР від 22.07.2021 року № 476-VІІІ з внесеними змінами від                             2024 року  №         -VIIІ шляхом викладення у новій редакції</t>
  </si>
  <si>
    <t>Рішення ЮМР від 25.07.2019 року №1438-VII з внесеними змінами  від                 2024 року №               -VIII, шляхом викладення у новій редакції</t>
  </si>
  <si>
    <t>Рішення Южненської міської ради від 19.09.2019 року № 1529-VII, з внесеними змінами від                       2024 року №            -VIII, шляхом викладення у новій редакції</t>
  </si>
  <si>
    <t>Рішення ЮМР від 25.07.2019 року №1438-VII з внесеними змінами  від             2024 року №          -VIII, шляхом викладення у новій редакції</t>
  </si>
  <si>
    <t>Будівництво установ та закладів культури</t>
  </si>
  <si>
    <t xml:space="preserve">Рішення ЮМР від 01.12.2022 року № 1170-VIІІ з внесеними змінами  від  29.03.2024 року № 1679 -VIII, шляхом викладення  у новій редакції  </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</si>
  <si>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</si>
  <si>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</si>
  <si>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до проєкту рішення Южненської міської ради</t>
  </si>
  <si>
    <t>від                     2024 року</t>
  </si>
  <si>
    <t xml:space="preserve">№ </t>
  </si>
  <si>
    <t>від                          2024 року</t>
  </si>
  <si>
    <t>від                           2024 року</t>
  </si>
  <si>
    <t xml:space="preserve">                                                            Додаток 4</t>
  </si>
  <si>
    <t xml:space="preserve">                                                            від                       2024 року</t>
  </si>
  <si>
    <t xml:space="preserve">                                                            № </t>
  </si>
  <si>
    <t xml:space="preserve">                                                            (пункти 1.1)</t>
  </si>
  <si>
    <t>0912</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</si>
  <si>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</si>
  <si>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</si>
  <si>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</si>
  <si>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</si>
  <si>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</si>
  <si>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</si>
  <si>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</si>
  <si>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</si>
  <si>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пл.Перемоги, місто Южне, Одеський район, Одеська область"</t>
  </si>
  <si>
    <t>1517324</t>
  </si>
  <si>
    <t>7324</t>
  </si>
  <si>
    <t>Будівництво  установ та закладів культури</t>
  </si>
  <si>
    <t>Реконструкція системи газопостачання в Сичавському будинку культури Одеського району Одеської області, за адресою: с.Сичавка, вул.Цветаєва 2А, в т.ч.:</t>
  </si>
  <si>
    <t>2021, 2023-2024 роки</t>
  </si>
  <si>
    <t>1517461</t>
  </si>
  <si>
    <t xml:space="preserve">Капітальний ремонт асфальтобетонного покриття дороги по вул. Центральній від села Кошари у напрямку села Любопіль в межах Южненської міської територіальної громади Одеського району Одеської області, в т.ч. </t>
  </si>
  <si>
    <t>від                  2024 року</t>
  </si>
  <si>
    <t xml:space="preserve">№  </t>
  </si>
  <si>
    <t>Додаток 7</t>
  </si>
  <si>
    <t>до  проєкту рішення Южненської міської ради</t>
  </si>
  <si>
    <t>"Додаток  12</t>
  </si>
  <si>
    <t>(пункт 4.1)"</t>
  </si>
  <si>
    <t>(пункт 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</si>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</sst>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quot;-&quot;"/>
    <numFmt numFmtId="165" formatCode="_-* #,##0.00\ _г_р_н_._-;\-* #,##0.00\ _г_р_н_._-;_-* &quot;-&quot;??\ _г_р_н_._-;_-@_-"/>
    <numFmt numFmtId="166" formatCode="#,##0.00;[Red]#,##0.00"/>
    <numFmt numFmtId="167" formatCode="_-* #,##0\ _г_р_н_._-;\-* #,##0\ _г_р_н_._-;_-* &quot;-&quot;??\ _г_р_н_._-;_-@_-"/>
    <numFmt numFmtId="168" formatCode="0.0%"/>
    <numFmt numFmtId="169" formatCode="#,##0.00;\-#,##0.00;#,&quot;-&quot;"/>
  </numFmts>
  <fonts count="50"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sz val="12"/>
      <color rgb="FF000000"/>
      <name val="Times New Roman"/>
      <family val="1"/>
      <charset val="204"/>
    </font>
    <font>
      <i/>
      <sz val="12"/>
      <color rgb="FF000000"/>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sz val="16"/>
      <name val="Times New Roman"/>
      <family val="1"/>
      <charset val="204"/>
    </font>
    <font>
      <i/>
      <sz val="16"/>
      <color theme="1"/>
      <name val="Times New Roman"/>
      <family val="1"/>
      <charset val="204"/>
    </font>
    <font>
      <b/>
      <i/>
      <sz val="12"/>
      <name val="Times New Roman"/>
      <family val="1"/>
      <charset val="204"/>
    </font>
    <font>
      <b/>
      <sz val="16"/>
      <color indexed="8"/>
      <name val="Times New Roman"/>
      <family val="1"/>
      <charset val="204"/>
    </font>
    <font>
      <sz val="16"/>
      <color rgb="FF000000"/>
      <name val="Times New Roman"/>
      <family val="1"/>
      <charset val="204"/>
    </font>
    <font>
      <sz val="16"/>
      <color theme="1"/>
      <name val="Calibri"/>
      <family val="2"/>
      <charset val="204"/>
      <scheme val="minor"/>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4"/>
      <name val="Times New Roman"/>
      <family val="1"/>
      <charset val="204"/>
    </font>
    <font>
      <i/>
      <sz val="14"/>
      <name val="Times New Roman"/>
      <family val="1"/>
      <charset val="204"/>
    </font>
    <font>
      <i/>
      <sz val="14"/>
      <color theme="1"/>
      <name val="Times New Roman"/>
      <family val="1"/>
      <charset val="204"/>
    </font>
    <font>
      <b/>
      <sz val="10"/>
      <name val="Times New Roman"/>
      <family val="1"/>
      <charset val="204"/>
    </font>
    <font>
      <b/>
      <i/>
      <sz val="16"/>
      <name val="Times New Roman"/>
      <family val="1"/>
      <charset val="204"/>
    </font>
    <font>
      <b/>
      <sz val="13.5"/>
      <name val="Arial"/>
      <family val="2"/>
      <charset val="204"/>
    </font>
    <font>
      <sz val="10"/>
      <color rgb="FF333333"/>
      <name val="Times New Roman"/>
      <family val="1"/>
      <charset val="204"/>
    </font>
    <font>
      <sz val="12"/>
      <color rgb="FF333333"/>
      <name val="Times New Roman"/>
      <family val="1"/>
      <charset val="204"/>
    </font>
    <font>
      <sz val="14"/>
      <color rgb="FF333333"/>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898">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2" fillId="0" borderId="0" xfId="0" applyFont="1"/>
    <xf numFmtId="0" fontId="9" fillId="0" borderId="0" xfId="0" applyFont="1" applyAlignment="1">
      <alignment vertical="center"/>
    </xf>
    <xf numFmtId="0" fontId="12" fillId="0" borderId="0" xfId="0" applyFont="1" applyAlignment="1">
      <alignment horizontal="right"/>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quotePrefix="1" applyFont="1" applyBorder="1" applyAlignment="1">
      <alignment vertical="center" wrapText="1"/>
    </xf>
    <xf numFmtId="164" fontId="6" fillId="2" borderId="15" xfId="0" applyNumberFormat="1" applyFont="1" applyFill="1" applyBorder="1" applyAlignment="1">
      <alignment horizontal="right" vertical="center"/>
    </xf>
    <xf numFmtId="164" fontId="6" fillId="0" borderId="15" xfId="0" applyNumberFormat="1" applyFont="1" applyBorder="1" applyAlignment="1">
      <alignment horizontal="right" vertical="center"/>
    </xf>
    <xf numFmtId="164" fontId="6" fillId="0" borderId="16" xfId="0" applyNumberFormat="1" applyFont="1" applyBorder="1" applyAlignment="1">
      <alignment horizontal="right" vertical="center"/>
    </xf>
    <xf numFmtId="49" fontId="8" fillId="0" borderId="17"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quotePrefix="1" applyFont="1" applyBorder="1" applyAlignment="1">
      <alignment vertical="center" wrapText="1"/>
    </xf>
    <xf numFmtId="164" fontId="5" fillId="2" borderId="18" xfId="0" applyNumberFormat="1" applyFont="1" applyFill="1" applyBorder="1" applyAlignment="1">
      <alignment horizontal="right" vertical="center"/>
    </xf>
    <xf numFmtId="164" fontId="5" fillId="0" borderId="18" xfId="0" applyNumberFormat="1" applyFont="1" applyBorder="1" applyAlignment="1">
      <alignment horizontal="right" vertical="center"/>
    </xf>
    <xf numFmtId="164" fontId="5" fillId="0" borderId="19" xfId="0" applyNumberFormat="1" applyFont="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5" fillId="0" borderId="12" xfId="0" quotePrefix="1" applyFont="1" applyBorder="1" applyAlignment="1">
      <alignment vertical="center" wrapText="1"/>
    </xf>
    <xf numFmtId="164" fontId="5" fillId="2" borderId="12" xfId="0" applyNumberFormat="1" applyFont="1" applyFill="1" applyBorder="1" applyAlignment="1">
      <alignment horizontal="right" vertical="center"/>
    </xf>
    <xf numFmtId="164" fontId="5" fillId="0" borderId="12" xfId="0" applyNumberFormat="1" applyFont="1" applyBorder="1" applyAlignment="1">
      <alignment horizontal="right" vertical="center"/>
    </xf>
    <xf numFmtId="164" fontId="5" fillId="0" borderId="13" xfId="0" applyNumberFormat="1" applyFont="1" applyBorder="1" applyAlignment="1">
      <alignment horizontal="right" vertical="center"/>
    </xf>
    <xf numFmtId="164" fontId="8" fillId="2" borderId="18" xfId="0" applyNumberFormat="1" applyFont="1" applyFill="1" applyBorder="1" applyAlignment="1">
      <alignment horizontal="right" vertical="center"/>
    </xf>
    <xf numFmtId="164" fontId="8" fillId="0" borderId="18" xfId="0" applyNumberFormat="1" applyFont="1" applyBorder="1" applyAlignment="1">
      <alignment horizontal="right" vertical="center"/>
    </xf>
    <xf numFmtId="164" fontId="8" fillId="0" borderId="19" xfId="0" applyNumberFormat="1" applyFont="1" applyBorder="1" applyAlignment="1">
      <alignment horizontal="right" vertical="center"/>
    </xf>
    <xf numFmtId="49"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quotePrefix="1" applyFont="1" applyBorder="1" applyAlignment="1">
      <alignment vertical="center" wrapText="1"/>
    </xf>
    <xf numFmtId="164" fontId="8" fillId="2" borderId="7" xfId="0" applyNumberFormat="1" applyFont="1" applyFill="1" applyBorder="1" applyAlignment="1">
      <alignment horizontal="right" vertical="center"/>
    </xf>
    <xf numFmtId="164" fontId="8" fillId="0" borderId="7" xfId="0" applyNumberFormat="1" applyFont="1" applyBorder="1" applyAlignment="1">
      <alignment horizontal="right" vertical="center"/>
    </xf>
    <xf numFmtId="164" fontId="8" fillId="0" borderId="8" xfId="0" applyNumberFormat="1" applyFont="1" applyBorder="1" applyAlignment="1">
      <alignment horizontal="righ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quotePrefix="1" applyFont="1" applyBorder="1" applyAlignment="1">
      <alignment vertical="center" wrapText="1"/>
    </xf>
    <xf numFmtId="0" fontId="8" fillId="0" borderId="17" xfId="0" applyFont="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49" fontId="7" fillId="0" borderId="9"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8" fillId="0" borderId="29" xfId="0" quotePrefix="1" applyFont="1" applyBorder="1" applyAlignment="1">
      <alignment vertical="center" wrapText="1"/>
    </xf>
    <xf numFmtId="0" fontId="5" fillId="0" borderId="5" xfId="0" quotePrefix="1" applyFont="1" applyBorder="1" applyAlignment="1">
      <alignment vertical="center" wrapText="1"/>
    </xf>
    <xf numFmtId="0" fontId="5" fillId="2" borderId="5" xfId="0" quotePrefix="1" applyFont="1" applyFill="1" applyBorder="1" applyAlignment="1">
      <alignment vertical="center" wrapText="1"/>
    </xf>
    <xf numFmtId="0" fontId="5" fillId="0" borderId="29" xfId="0" quotePrefix="1" applyFont="1" applyBorder="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49" fontId="7" fillId="0" borderId="1" xfId="0" applyNumberFormat="1" applyFont="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0" borderId="32" xfId="0" applyFont="1" applyBorder="1" applyAlignment="1">
      <alignment horizontal="center" vertical="center" wrapText="1"/>
    </xf>
    <xf numFmtId="0" fontId="6" fillId="0" borderId="31" xfId="0" quotePrefix="1" applyFont="1" applyBorder="1" applyAlignment="1">
      <alignment vertical="center" wrapText="1"/>
    </xf>
    <xf numFmtId="0" fontId="5" fillId="0" borderId="23" xfId="0" quotePrefix="1" applyFont="1" applyBorder="1" applyAlignment="1">
      <alignment vertical="center" wrapText="1"/>
    </xf>
    <xf numFmtId="0" fontId="8" fillId="0" borderId="30" xfId="0" quotePrefix="1" applyFont="1" applyBorder="1" applyAlignment="1">
      <alignment vertical="center" wrapText="1"/>
    </xf>
    <xf numFmtId="0" fontId="5" fillId="2" borderId="29" xfId="0" quotePrefix="1" applyFont="1" applyFill="1" applyBorder="1" applyAlignment="1">
      <alignment vertical="center" wrapText="1"/>
    </xf>
    <xf numFmtId="0" fontId="7" fillId="0" borderId="5" xfId="0" applyFont="1" applyBorder="1" applyAlignment="1">
      <alignment vertical="center" wrapText="1"/>
    </xf>
    <xf numFmtId="0" fontId="5" fillId="2" borderId="1" xfId="0" quotePrefix="1" applyFont="1" applyFill="1" applyBorder="1" applyAlignment="1">
      <alignment vertical="center" wrapText="1"/>
    </xf>
    <xf numFmtId="0" fontId="5" fillId="2" borderId="3"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5" fillId="0" borderId="27" xfId="0" quotePrefix="1" applyFont="1" applyBorder="1" applyAlignment="1">
      <alignment vertical="center" wrapText="1"/>
    </xf>
    <xf numFmtId="0" fontId="5" fillId="0" borderId="20" xfId="0" applyFont="1" applyBorder="1" applyAlignment="1">
      <alignment horizontal="center" vertical="center" wrapText="1"/>
    </xf>
    <xf numFmtId="0" fontId="5" fillId="0" borderId="21" xfId="0" quotePrefix="1" applyFont="1" applyBorder="1" applyAlignment="1">
      <alignment vertical="center" wrapText="1"/>
    </xf>
    <xf numFmtId="164" fontId="5" fillId="0" borderId="21" xfId="0" applyNumberFormat="1" applyFont="1" applyBorder="1" applyAlignment="1">
      <alignment horizontal="right" vertical="center"/>
    </xf>
    <xf numFmtId="0" fontId="5" fillId="0" borderId="33" xfId="0" quotePrefix="1" applyFont="1" applyBorder="1" applyAlignment="1">
      <alignment vertical="center" wrapText="1"/>
    </xf>
    <xf numFmtId="164" fontId="5" fillId="2" borderId="21" xfId="0" applyNumberFormat="1" applyFont="1" applyFill="1" applyBorder="1" applyAlignment="1">
      <alignment horizontal="right" vertical="center"/>
    </xf>
    <xf numFmtId="164" fontId="5" fillId="0" borderId="22" xfId="0" applyNumberFormat="1" applyFont="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49" fontId="5" fillId="0" borderId="2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164" fontId="5" fillId="0" borderId="27" xfId="0" applyNumberFormat="1" applyFont="1" applyBorder="1" applyAlignment="1">
      <alignment horizontal="right" vertical="center"/>
    </xf>
    <xf numFmtId="164" fontId="5" fillId="0" borderId="28" xfId="0" applyNumberFormat="1" applyFont="1" applyBorder="1" applyAlignment="1">
      <alignment horizontal="right" vertical="center"/>
    </xf>
    <xf numFmtId="0" fontId="5" fillId="2" borderId="26" xfId="0" applyFont="1" applyFill="1" applyBorder="1" applyAlignment="1">
      <alignment horizontal="center" vertical="center" wrapText="1"/>
    </xf>
    <xf numFmtId="49" fontId="5" fillId="0" borderId="27" xfId="0" applyNumberFormat="1" applyFont="1" applyBorder="1" applyAlignment="1">
      <alignment horizontal="center" vertical="center" wrapText="1"/>
    </xf>
    <xf numFmtId="49" fontId="5" fillId="0" borderId="27" xfId="0" quotePrefix="1" applyNumberFormat="1" applyFont="1" applyBorder="1" applyAlignment="1">
      <alignment vertical="center" wrapText="1"/>
    </xf>
    <xf numFmtId="0" fontId="7" fillId="2" borderId="12" xfId="0" quotePrefix="1" applyFont="1" applyFill="1" applyBorder="1" applyAlignment="1">
      <alignment vertical="center" wrapText="1"/>
    </xf>
    <xf numFmtId="49" fontId="5" fillId="0" borderId="12" xfId="0" quotePrefix="1" applyNumberFormat="1" applyFont="1" applyBorder="1" applyAlignment="1">
      <alignment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7" xfId="0" applyFont="1" applyBorder="1" applyAlignment="1">
      <alignment horizontal="left" vertical="center" wrapText="1"/>
    </xf>
    <xf numFmtId="164" fontId="7" fillId="0" borderId="1" xfId="0" applyNumberFormat="1" applyFont="1" applyBorder="1" applyAlignment="1">
      <alignment horizontal="right" vertical="center"/>
    </xf>
    <xf numFmtId="164" fontId="7" fillId="2" borderId="1" xfId="0" applyNumberFormat="1" applyFont="1" applyFill="1" applyBorder="1" applyAlignment="1">
      <alignment horizontal="right" vertical="center"/>
    </xf>
    <xf numFmtId="164" fontId="7" fillId="2" borderId="18" xfId="0" applyNumberFormat="1" applyFont="1" applyFill="1" applyBorder="1" applyAlignment="1">
      <alignment horizontal="right" vertical="center"/>
    </xf>
    <xf numFmtId="164" fontId="7" fillId="0" borderId="10" xfId="0" applyNumberFormat="1" applyFont="1" applyBorder="1" applyAlignment="1">
      <alignment horizontal="right" vertical="center"/>
    </xf>
    <xf numFmtId="164" fontId="7" fillId="0" borderId="12" xfId="0" applyNumberFormat="1" applyFont="1" applyBorder="1" applyAlignment="1">
      <alignment horizontal="right" vertical="center"/>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1" xfId="0" quotePrefix="1" applyFont="1" applyFill="1" applyBorder="1" applyAlignment="1">
      <alignment vertical="center" wrapText="1"/>
    </xf>
    <xf numFmtId="0" fontId="6" fillId="2" borderId="15" xfId="0" quotePrefix="1" applyFont="1" applyFill="1" applyBorder="1" applyAlignment="1">
      <alignment vertical="center" wrapText="1"/>
    </xf>
    <xf numFmtId="164" fontId="6" fillId="2" borderId="16" xfId="0" applyNumberFormat="1" applyFont="1" applyFill="1" applyBorder="1" applyAlignment="1">
      <alignment horizontal="right"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49" fontId="7" fillId="0" borderId="23"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7" fillId="0" borderId="23" xfId="0" applyFont="1" applyBorder="1" applyAlignment="1">
      <alignment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164" fontId="7" fillId="2" borderId="19" xfId="0" applyNumberFormat="1" applyFont="1" applyFill="1" applyBorder="1" applyAlignment="1">
      <alignment horizontal="right" vertical="center"/>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49" fontId="5" fillId="0" borderId="18" xfId="0" applyNumberFormat="1" applyFont="1" applyBorder="1" applyAlignment="1">
      <alignment horizontal="center" vertical="center"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20" fillId="0" borderId="0" xfId="0" applyFont="1"/>
    <xf numFmtId="0" fontId="20" fillId="0" borderId="0" xfId="0" applyFont="1" applyAlignment="1">
      <alignment horizontal="center" vertical="center"/>
    </xf>
    <xf numFmtId="49" fontId="20" fillId="0" borderId="0" xfId="0" applyNumberFormat="1" applyFont="1" applyAlignment="1">
      <alignment horizontal="center" vertical="center"/>
    </xf>
    <xf numFmtId="0" fontId="9" fillId="0" borderId="0" xfId="0" applyFont="1"/>
    <xf numFmtId="0" fontId="20" fillId="0" borderId="0" xfId="0" applyFont="1" applyAlignment="1">
      <alignment vertical="center"/>
    </xf>
    <xf numFmtId="0" fontId="7" fillId="0" borderId="0" xfId="0" applyFont="1"/>
    <xf numFmtId="9" fontId="7" fillId="0" borderId="0" xfId="0" applyNumberFormat="1" applyFont="1"/>
    <xf numFmtId="9" fontId="20" fillId="0" borderId="0" xfId="0" applyNumberFormat="1" applyFont="1" applyAlignment="1">
      <alignment horizontal="right" vertical="center"/>
    </xf>
    <xf numFmtId="0" fontId="7" fillId="0" borderId="4" xfId="0" applyFont="1" applyBorder="1"/>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36"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0" fontId="13" fillId="0" borderId="0" xfId="0" applyFont="1"/>
    <xf numFmtId="49" fontId="21" fillId="0" borderId="36"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31" xfId="0" applyNumberFormat="1" applyFont="1" applyBorder="1" applyAlignment="1">
      <alignment horizontal="center" vertical="center"/>
    </xf>
    <xf numFmtId="0" fontId="21" fillId="3" borderId="15" xfId="0" applyFont="1" applyFill="1" applyBorder="1" applyAlignment="1">
      <alignment horizontal="center" vertical="center" wrapText="1"/>
    </xf>
    <xf numFmtId="49" fontId="21"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right" vertical="center" wrapText="1"/>
    </xf>
    <xf numFmtId="3" fontId="21" fillId="3" borderId="31" xfId="0" applyNumberFormat="1" applyFont="1" applyFill="1" applyBorder="1" applyAlignment="1">
      <alignment horizontal="right" vertical="center" wrapText="1"/>
    </xf>
    <xf numFmtId="167" fontId="21" fillId="2" borderId="31" xfId="0" applyNumberFormat="1" applyFont="1" applyFill="1" applyBorder="1" applyAlignment="1">
      <alignment horizontal="right" vertical="center" wrapText="1"/>
    </xf>
    <xf numFmtId="9" fontId="21" fillId="3" borderId="16"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0" borderId="27" xfId="0" applyNumberFormat="1" applyFont="1" applyBorder="1" applyAlignment="1">
      <alignment horizontal="center" vertical="center"/>
    </xf>
    <xf numFmtId="0" fontId="21" fillId="3" borderId="27" xfId="0" applyFont="1" applyFill="1" applyBorder="1" applyAlignment="1">
      <alignment horizontal="center" vertical="center" wrapText="1"/>
    </xf>
    <xf numFmtId="49" fontId="21" fillId="3" borderId="27" xfId="0" applyNumberFormat="1" applyFont="1" applyFill="1" applyBorder="1" applyAlignment="1">
      <alignment horizontal="center" vertical="center" wrapText="1"/>
    </xf>
    <xf numFmtId="3" fontId="25" fillId="3" borderId="27" xfId="0" applyNumberFormat="1" applyFont="1" applyFill="1" applyBorder="1" applyAlignment="1">
      <alignment horizontal="right" vertical="center" wrapText="1"/>
    </xf>
    <xf numFmtId="3" fontId="25" fillId="3" borderId="32" xfId="0" applyNumberFormat="1" applyFont="1" applyFill="1" applyBorder="1" applyAlignment="1">
      <alignment horizontal="right" vertical="center" wrapText="1"/>
    </xf>
    <xf numFmtId="167" fontId="25" fillId="0" borderId="32" xfId="1" applyNumberFormat="1" applyFont="1" applyFill="1" applyBorder="1" applyAlignment="1">
      <alignment horizontal="right" vertical="center" wrapText="1"/>
    </xf>
    <xf numFmtId="9" fontId="25" fillId="3" borderId="28" xfId="0" applyNumberFormat="1" applyFont="1" applyFill="1" applyBorder="1" applyAlignment="1">
      <alignment horizontal="right" vertical="center" wrapText="1"/>
    </xf>
    <xf numFmtId="49" fontId="26" fillId="0" borderId="9" xfId="0" applyNumberFormat="1" applyFont="1" applyBorder="1" applyAlignment="1">
      <alignment horizontal="center" vertical="center"/>
    </xf>
    <xf numFmtId="49" fontId="26" fillId="0" borderId="1" xfId="0" applyNumberFormat="1" applyFont="1" applyBorder="1" applyAlignment="1">
      <alignment horizontal="center" vertical="center"/>
    </xf>
    <xf numFmtId="0" fontId="26" fillId="0" borderId="1" xfId="0" applyFont="1" applyBorder="1" applyAlignment="1">
      <alignment vertical="center" wrapText="1"/>
    </xf>
    <xf numFmtId="0" fontId="26" fillId="3" borderId="1" xfId="0" applyFont="1" applyFill="1" applyBorder="1" applyAlignment="1">
      <alignment horizontal="left" vertical="center" wrapText="1"/>
    </xf>
    <xf numFmtId="49" fontId="26" fillId="0" borderId="1" xfId="0" applyNumberFormat="1" applyFont="1" applyBorder="1" applyAlignment="1">
      <alignment horizontal="center" vertical="center" wrapText="1"/>
    </xf>
    <xf numFmtId="3" fontId="26" fillId="0" borderId="1" xfId="0" applyNumberFormat="1" applyFont="1" applyBorder="1" applyAlignment="1">
      <alignment horizontal="right" vertical="center" wrapText="1"/>
    </xf>
    <xf numFmtId="167" fontId="26" fillId="0" borderId="1" xfId="1" applyNumberFormat="1" applyFont="1" applyFill="1" applyBorder="1" applyAlignment="1">
      <alignment horizontal="right" vertical="center" wrapText="1"/>
    </xf>
    <xf numFmtId="9" fontId="2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26" fillId="3" borderId="27" xfId="0" applyFont="1" applyFill="1" applyBorder="1" applyAlignment="1">
      <alignment horizontal="left" vertical="center" wrapText="1"/>
    </xf>
    <xf numFmtId="49" fontId="26" fillId="0" borderId="27" xfId="0" applyNumberFormat="1" applyFont="1" applyBorder="1" applyAlignment="1">
      <alignment horizontal="center" vertical="center" wrapText="1"/>
    </xf>
    <xf numFmtId="3" fontId="26" fillId="0" borderId="27" xfId="0" applyNumberFormat="1" applyFont="1" applyBorder="1" applyAlignment="1">
      <alignment horizontal="right" vertical="center" wrapText="1"/>
    </xf>
    <xf numFmtId="167" fontId="26" fillId="0" borderId="27" xfId="1" applyNumberFormat="1" applyFont="1" applyFill="1" applyBorder="1" applyAlignment="1">
      <alignment horizontal="right" vertical="center" wrapText="1"/>
    </xf>
    <xf numFmtId="9" fontId="2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6" fillId="3" borderId="15" xfId="0" applyFont="1" applyFill="1" applyBorder="1" applyAlignment="1">
      <alignment horizontal="left" vertical="center" wrapText="1"/>
    </xf>
    <xf numFmtId="49" fontId="26" fillId="0" borderId="15" xfId="0" applyNumberFormat="1" applyFont="1" applyBorder="1" applyAlignment="1">
      <alignment horizontal="center" vertical="center" wrapText="1"/>
    </xf>
    <xf numFmtId="3" fontId="26" fillId="0" borderId="15" xfId="0" applyNumberFormat="1" applyFont="1" applyBorder="1" applyAlignment="1">
      <alignment horizontal="right" vertical="center" wrapText="1"/>
    </xf>
    <xf numFmtId="167" fontId="21" fillId="0" borderId="15" xfId="1" applyNumberFormat="1" applyFont="1" applyFill="1" applyBorder="1" applyAlignment="1">
      <alignment horizontal="right" vertical="center" wrapText="1"/>
    </xf>
    <xf numFmtId="9" fontId="26" fillId="0" borderId="16" xfId="0" applyNumberFormat="1" applyFont="1" applyBorder="1" applyAlignment="1">
      <alignment horizontal="right" vertical="center" wrapText="1"/>
    </xf>
    <xf numFmtId="0" fontId="27" fillId="2" borderId="17"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6" fillId="3" borderId="18" xfId="0" applyFont="1" applyFill="1" applyBorder="1" applyAlignment="1">
      <alignment horizontal="left" vertical="center" wrapText="1"/>
    </xf>
    <xf numFmtId="49" fontId="26" fillId="0" borderId="18" xfId="0" applyNumberFormat="1" applyFont="1" applyBorder="1" applyAlignment="1">
      <alignment horizontal="center" vertical="center" wrapText="1"/>
    </xf>
    <xf numFmtId="3" fontId="26" fillId="0" borderId="18" xfId="0" applyNumberFormat="1" applyFont="1" applyBorder="1" applyAlignment="1">
      <alignment horizontal="right" vertical="center" wrapText="1"/>
    </xf>
    <xf numFmtId="167" fontId="25" fillId="0" borderId="18" xfId="1" applyNumberFormat="1" applyFont="1" applyFill="1" applyBorder="1" applyAlignment="1">
      <alignment horizontal="right" vertical="center" wrapText="1"/>
    </xf>
    <xf numFmtId="9" fontId="2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6" fillId="3" borderId="12" xfId="0" applyFont="1" applyFill="1" applyBorder="1" applyAlignment="1">
      <alignment horizontal="left" vertical="center" wrapText="1"/>
    </xf>
    <xf numFmtId="0" fontId="25" fillId="3" borderId="18" xfId="0" applyFont="1" applyFill="1" applyBorder="1" applyAlignment="1">
      <alignment horizontal="left" vertical="center" wrapText="1"/>
    </xf>
    <xf numFmtId="49" fontId="25"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9" fontId="25" fillId="0" borderId="10" xfId="0" applyNumberFormat="1" applyFont="1" applyBorder="1" applyAlignment="1">
      <alignment horizontal="right" vertical="center" wrapText="1"/>
    </xf>
    <xf numFmtId="49" fontId="25" fillId="0" borderId="12" xfId="0" applyNumberFormat="1" applyFont="1" applyBorder="1" applyAlignment="1">
      <alignment horizontal="center" vertical="center" wrapText="1"/>
    </xf>
    <xf numFmtId="3" fontId="25" fillId="0" borderId="12" xfId="0" applyNumberFormat="1" applyFont="1" applyBorder="1" applyAlignment="1">
      <alignment horizontal="right" vertical="center" wrapText="1"/>
    </xf>
    <xf numFmtId="167" fontId="26" fillId="0" borderId="12" xfId="1" applyNumberFormat="1" applyFont="1" applyFill="1" applyBorder="1" applyAlignment="1">
      <alignment horizontal="right" vertical="center" wrapText="1"/>
    </xf>
    <xf numFmtId="9" fontId="25" fillId="0" borderId="13" xfId="0" applyNumberFormat="1" applyFont="1" applyBorder="1" applyAlignment="1">
      <alignment horizontal="right" vertical="center" wrapText="1"/>
    </xf>
    <xf numFmtId="49" fontId="21" fillId="0" borderId="14" xfId="0" applyNumberFormat="1" applyFont="1" applyBorder="1" applyAlignment="1">
      <alignment horizontal="center" vertical="center"/>
    </xf>
    <xf numFmtId="0" fontId="21" fillId="3" borderId="15" xfId="0" applyFont="1" applyFill="1" applyBorder="1" applyAlignment="1">
      <alignment horizontal="left" vertical="center"/>
    </xf>
    <xf numFmtId="0" fontId="21" fillId="3" borderId="15" xfId="0" applyFont="1" applyFill="1" applyBorder="1" applyAlignment="1">
      <alignment horizontal="right" vertical="center" wrapText="1"/>
    </xf>
    <xf numFmtId="167" fontId="21" fillId="3" borderId="15" xfId="1" applyNumberFormat="1" applyFont="1" applyFill="1" applyBorder="1" applyAlignment="1">
      <alignment horizontal="right" vertical="center" wrapText="1"/>
    </xf>
    <xf numFmtId="49" fontId="25" fillId="0" borderId="17" xfId="0" applyNumberFormat="1" applyFont="1" applyBorder="1" applyAlignment="1">
      <alignment horizontal="center" vertical="center"/>
    </xf>
    <xf numFmtId="49" fontId="25" fillId="0" borderId="18" xfId="0" applyNumberFormat="1" applyFont="1" applyBorder="1" applyAlignment="1">
      <alignment horizontal="center" vertical="center"/>
    </xf>
    <xf numFmtId="0" fontId="21" fillId="3" borderId="18" xfId="0" applyFont="1" applyFill="1" applyBorder="1" applyAlignment="1">
      <alignment horizontal="left" vertical="center" wrapText="1"/>
    </xf>
    <xf numFmtId="49" fontId="21" fillId="3" borderId="18" xfId="0" applyNumberFormat="1" applyFont="1" applyFill="1" applyBorder="1" applyAlignment="1">
      <alignment horizontal="center" vertical="center" wrapText="1"/>
    </xf>
    <xf numFmtId="0" fontId="21" fillId="3" borderId="18" xfId="0" applyFont="1" applyFill="1" applyBorder="1" applyAlignment="1">
      <alignment horizontal="right" vertical="center" wrapText="1"/>
    </xf>
    <xf numFmtId="167" fontId="25" fillId="3" borderId="18" xfId="1" applyNumberFormat="1" applyFont="1" applyFill="1" applyBorder="1" applyAlignment="1">
      <alignment horizontal="right" vertical="center" wrapText="1"/>
    </xf>
    <xf numFmtId="9" fontId="21" fillId="3" borderId="19" xfId="0" applyNumberFormat="1" applyFont="1" applyFill="1" applyBorder="1" applyAlignment="1">
      <alignment horizontal="right" vertical="center" wrapText="1"/>
    </xf>
    <xf numFmtId="49" fontId="26" fillId="0" borderId="11" xfId="0" applyNumberFormat="1" applyFont="1" applyBorder="1" applyAlignment="1">
      <alignment horizontal="center" vertical="center"/>
    </xf>
    <xf numFmtId="49" fontId="26" fillId="0" borderId="12" xfId="0" applyNumberFormat="1" applyFont="1" applyBorder="1" applyAlignment="1">
      <alignment horizontal="center" vertical="center"/>
    </xf>
    <xf numFmtId="0" fontId="3" fillId="2" borderId="12" xfId="0" applyFont="1" applyFill="1" applyBorder="1" applyAlignment="1">
      <alignment vertical="center" wrapText="1"/>
    </xf>
    <xf numFmtId="0" fontId="21" fillId="3" borderId="12" xfId="0" applyFont="1" applyFill="1" applyBorder="1" applyAlignment="1">
      <alignment horizontal="right" vertical="center" wrapText="1"/>
    </xf>
    <xf numFmtId="9" fontId="21" fillId="3" borderId="13" xfId="0" applyNumberFormat="1" applyFont="1" applyFill="1" applyBorder="1" applyAlignment="1">
      <alignment horizontal="right" vertical="center" wrapText="1"/>
    </xf>
    <xf numFmtId="49" fontId="21" fillId="0" borderId="15" xfId="0" applyNumberFormat="1" applyFont="1" applyBorder="1" applyAlignment="1">
      <alignment horizontal="center" vertical="center" wrapText="1"/>
    </xf>
    <xf numFmtId="0" fontId="21" fillId="0" borderId="15" xfId="0" applyFont="1" applyBorder="1" applyAlignment="1">
      <alignment horizontal="left" vertical="center" wrapText="1"/>
    </xf>
    <xf numFmtId="3" fontId="21" fillId="0" borderId="15" xfId="0" applyNumberFormat="1" applyFont="1" applyBorder="1" applyAlignment="1">
      <alignment horizontal="right" vertical="center"/>
    </xf>
    <xf numFmtId="9" fontId="21" fillId="0" borderId="16" xfId="0" applyNumberFormat="1" applyFont="1" applyBorder="1" applyAlignment="1">
      <alignment horizontal="right" vertical="center"/>
    </xf>
    <xf numFmtId="0" fontId="21" fillId="0" borderId="18" xfId="0" applyFont="1" applyBorder="1" applyAlignment="1">
      <alignment horizontal="left" vertical="center" wrapText="1"/>
    </xf>
    <xf numFmtId="49" fontId="21"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xf>
    <xf numFmtId="9" fontId="25" fillId="0" borderId="19" xfId="0" applyNumberFormat="1" applyFont="1" applyBorder="1" applyAlignment="1">
      <alignment horizontal="right" vertical="center"/>
    </xf>
    <xf numFmtId="3" fontId="26" fillId="2" borderId="1" xfId="0" applyNumberFormat="1" applyFont="1" applyFill="1" applyBorder="1" applyAlignment="1">
      <alignment vertical="center"/>
    </xf>
    <xf numFmtId="3" fontId="25" fillId="0" borderId="1" xfId="0" applyNumberFormat="1" applyFont="1" applyBorder="1" applyAlignment="1">
      <alignment vertical="center"/>
    </xf>
    <xf numFmtId="0" fontId="28" fillId="0" borderId="0" xfId="0" applyFont="1"/>
    <xf numFmtId="3" fontId="26" fillId="0" borderId="1" xfId="0" applyNumberFormat="1" applyFont="1" applyBorder="1" applyAlignment="1">
      <alignment vertical="center"/>
    </xf>
    <xf numFmtId="164" fontId="3" fillId="2" borderId="1" xfId="0" applyNumberFormat="1" applyFont="1" applyFill="1" applyBorder="1" applyAlignment="1">
      <alignment horizontal="right" vertical="center"/>
    </xf>
    <xf numFmtId="3" fontId="25" fillId="0" borderId="12" xfId="0" applyNumberFormat="1" applyFont="1" applyBorder="1" applyAlignment="1">
      <alignment vertical="center" wrapText="1"/>
    </xf>
    <xf numFmtId="3" fontId="25" fillId="0" borderId="1" xfId="0" applyNumberFormat="1" applyFont="1" applyBorder="1" applyAlignment="1">
      <alignment horizontal="right" vertical="center"/>
    </xf>
    <xf numFmtId="0" fontId="26" fillId="0" borderId="15" xfId="0" applyFont="1" applyBorder="1" applyAlignment="1">
      <alignment vertical="center" wrapText="1"/>
    </xf>
    <xf numFmtId="0" fontId="26" fillId="0" borderId="15" xfId="0" applyFont="1" applyBorder="1" applyAlignment="1">
      <alignment horizontal="center" vertical="center" wrapText="1"/>
    </xf>
    <xf numFmtId="3" fontId="25" fillId="2" borderId="15" xfId="0" applyNumberFormat="1" applyFont="1" applyFill="1" applyBorder="1" applyAlignment="1">
      <alignment vertical="center"/>
    </xf>
    <xf numFmtId="3" fontId="25" fillId="0" borderId="15" xfId="0" applyNumberFormat="1" applyFont="1" applyBorder="1" applyAlignment="1">
      <alignment vertical="center" wrapText="1"/>
    </xf>
    <xf numFmtId="168" fontId="25" fillId="0" borderId="15" xfId="0" applyNumberFormat="1" applyFont="1" applyBorder="1" applyAlignment="1">
      <alignment vertical="center" wrapText="1"/>
    </xf>
    <xf numFmtId="0" fontId="26" fillId="0" borderId="18" xfId="0" applyFont="1" applyBorder="1" applyAlignment="1">
      <alignment vertical="center" wrapText="1"/>
    </xf>
    <xf numFmtId="3" fontId="25" fillId="2" borderId="18" xfId="0" applyNumberFormat="1" applyFont="1" applyFill="1" applyBorder="1" applyAlignment="1">
      <alignment vertical="center"/>
    </xf>
    <xf numFmtId="3" fontId="25" fillId="0" borderId="18" xfId="0" applyNumberFormat="1" applyFont="1" applyBorder="1" applyAlignment="1">
      <alignment vertical="center" wrapText="1"/>
    </xf>
    <xf numFmtId="168" fontId="25" fillId="0" borderId="18" xfId="0" applyNumberFormat="1" applyFont="1" applyBorder="1" applyAlignment="1">
      <alignment vertical="center" wrapText="1"/>
    </xf>
    <xf numFmtId="3" fontId="25" fillId="2" borderId="12" xfId="0" applyNumberFormat="1" applyFont="1" applyFill="1" applyBorder="1" applyAlignment="1">
      <alignment vertical="center"/>
    </xf>
    <xf numFmtId="168" fontId="25" fillId="0" borderId="12" xfId="0" applyNumberFormat="1" applyFont="1" applyBorder="1" applyAlignment="1">
      <alignment vertical="center" wrapText="1"/>
    </xf>
    <xf numFmtId="3" fontId="26" fillId="0" borderId="12" xfId="0" applyNumberFormat="1" applyFont="1" applyBorder="1" applyAlignment="1">
      <alignment horizontal="right" vertical="center"/>
    </xf>
    <xf numFmtId="0" fontId="21" fillId="0" borderId="36" xfId="0" applyFont="1" applyBorder="1" applyAlignment="1">
      <alignment horizontal="center" vertical="center"/>
    </xf>
    <xf numFmtId="0" fontId="29" fillId="3" borderId="15" xfId="0" applyFont="1" applyFill="1" applyBorder="1" applyAlignment="1">
      <alignment horizontal="center" vertical="center" wrapText="1"/>
    </xf>
    <xf numFmtId="49" fontId="29"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center" vertical="center" wrapText="1"/>
    </xf>
    <xf numFmtId="167" fontId="21" fillId="3" borderId="15" xfId="1" applyNumberFormat="1" applyFont="1" applyFill="1" applyBorder="1" applyAlignment="1">
      <alignment horizontal="center" vertical="center" wrapText="1"/>
    </xf>
    <xf numFmtId="9" fontId="21" fillId="3" borderId="16" xfId="0" applyNumberFormat="1" applyFont="1" applyFill="1" applyBorder="1" applyAlignment="1">
      <alignment horizontal="center" vertical="center" wrapText="1"/>
    </xf>
    <xf numFmtId="167" fontId="20" fillId="0" borderId="0" xfId="0" applyNumberFormat="1" applyFont="1"/>
    <xf numFmtId="0" fontId="21" fillId="0" borderId="0" xfId="0" applyFont="1" applyAlignment="1">
      <alignment horizontal="center" vertical="center"/>
    </xf>
    <xf numFmtId="49" fontId="21" fillId="3" borderId="0" xfId="0" applyNumberFormat="1" applyFont="1" applyFill="1" applyAlignment="1">
      <alignment horizontal="center" vertical="center" wrapText="1"/>
    </xf>
    <xf numFmtId="0" fontId="21" fillId="3" borderId="0" xfId="0" applyFont="1" applyFill="1" applyAlignment="1">
      <alignment horizontal="center" vertical="center" wrapText="1"/>
    </xf>
    <xf numFmtId="0" fontId="29" fillId="3" borderId="0" xfId="0" applyFont="1" applyFill="1" applyAlignment="1">
      <alignment horizontal="center" vertical="center" wrapText="1"/>
    </xf>
    <xf numFmtId="49" fontId="29" fillId="3" borderId="0" xfId="0" applyNumberFormat="1" applyFont="1" applyFill="1" applyAlignment="1">
      <alignment horizontal="center" vertical="center" wrapText="1"/>
    </xf>
    <xf numFmtId="3" fontId="21" fillId="3" borderId="0" xfId="0" applyNumberFormat="1" applyFont="1" applyFill="1" applyAlignment="1">
      <alignment horizontal="center" vertical="center" wrapText="1"/>
    </xf>
    <xf numFmtId="167" fontId="21" fillId="3" borderId="0" xfId="1" applyNumberFormat="1" applyFont="1" applyFill="1" applyBorder="1" applyAlignment="1">
      <alignment horizontal="right" vertical="center" wrapText="1"/>
    </xf>
    <xf numFmtId="9" fontId="21" fillId="3" borderId="0" xfId="0" applyNumberFormat="1" applyFont="1" applyFill="1" applyAlignment="1">
      <alignment horizontal="center" vertical="center" wrapText="1"/>
    </xf>
    <xf numFmtId="0" fontId="30" fillId="0" borderId="0" xfId="0" applyFont="1" applyAlignment="1">
      <alignment vertical="center"/>
    </xf>
    <xf numFmtId="0" fontId="26"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31" fillId="0" borderId="0" xfId="0" applyFont="1"/>
    <xf numFmtId="0" fontId="26" fillId="0" borderId="0" xfId="0" applyFont="1"/>
    <xf numFmtId="0" fontId="26" fillId="0" borderId="0" xfId="0" applyFont="1" applyAlignment="1">
      <alignment horizontal="center" vertical="center"/>
    </xf>
    <xf numFmtId="49" fontId="26" fillId="0" borderId="0" xfId="0" applyNumberFormat="1" applyFont="1" applyAlignment="1">
      <alignment horizontal="center" vertical="center"/>
    </xf>
    <xf numFmtId="0" fontId="26" fillId="0" borderId="0" xfId="0" applyFont="1" applyAlignment="1">
      <alignment vertical="center"/>
    </xf>
    <xf numFmtId="9" fontId="26" fillId="0" borderId="0" xfId="0" applyNumberFormat="1" applyFont="1" applyAlignment="1">
      <alignment horizontal="right" vertical="center"/>
    </xf>
    <xf numFmtId="0" fontId="20" fillId="0" borderId="0" xfId="0" applyFont="1" applyAlignment="1">
      <alignment horizontal="right" vertical="center"/>
    </xf>
    <xf numFmtId="0" fontId="7" fillId="0" borderId="0" xfId="0" applyFont="1" applyAlignment="1">
      <alignment vertical="center" wrapText="1"/>
    </xf>
    <xf numFmtId="0" fontId="7" fillId="2" borderId="0" xfId="0" applyFont="1" applyFill="1" applyAlignment="1">
      <alignment vertical="center"/>
    </xf>
    <xf numFmtId="9" fontId="25" fillId="0" borderId="1" xfId="0" applyNumberFormat="1" applyFont="1" applyBorder="1" applyAlignment="1">
      <alignment vertical="center" wrapText="1"/>
    </xf>
    <xf numFmtId="3" fontId="26" fillId="0" borderId="1" xfId="0" applyNumberFormat="1" applyFont="1" applyBorder="1" applyAlignment="1">
      <alignment horizontal="right" vertical="center"/>
    </xf>
    <xf numFmtId="3" fontId="26" fillId="2" borderId="1" xfId="0" applyNumberFormat="1" applyFont="1" applyFill="1" applyBorder="1" applyAlignment="1">
      <alignment horizontal="right" vertical="center" wrapText="1"/>
    </xf>
    <xf numFmtId="3" fontId="25" fillId="2" borderId="1" xfId="0" applyNumberFormat="1" applyFont="1" applyFill="1" applyBorder="1" applyAlignment="1">
      <alignment horizontal="right" vertical="center"/>
    </xf>
    <xf numFmtId="0" fontId="5" fillId="2" borderId="38"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32" fillId="2" borderId="0" xfId="0" applyFont="1" applyFill="1" applyBorder="1" applyAlignment="1"/>
    <xf numFmtId="9" fontId="20" fillId="0" borderId="2" xfId="0" applyNumberFormat="1" applyFont="1" applyBorder="1" applyAlignment="1">
      <alignment horizontal="right" vertical="center"/>
    </xf>
    <xf numFmtId="9" fontId="20" fillId="0" borderId="4" xfId="0" applyNumberFormat="1" applyFont="1" applyBorder="1" applyAlignment="1">
      <alignment horizontal="right" vertical="center"/>
    </xf>
    <xf numFmtId="0" fontId="6" fillId="2" borderId="0" xfId="0" applyFont="1" applyFill="1" applyBorder="1" applyAlignment="1">
      <alignment horizontal="center" vertical="center" wrapText="1"/>
    </xf>
    <xf numFmtId="0" fontId="6" fillId="2" borderId="0" xfId="0" applyFont="1" applyFill="1" applyBorder="1" applyAlignment="1">
      <alignment vertical="center" wrapText="1"/>
    </xf>
    <xf numFmtId="164" fontId="6" fillId="2" borderId="0" xfId="0" applyNumberFormat="1" applyFont="1" applyFill="1" applyBorder="1" applyAlignment="1">
      <alignment horizontal="right" vertical="center"/>
    </xf>
    <xf numFmtId="0" fontId="5" fillId="0" borderId="0" xfId="0" applyFont="1" applyBorder="1"/>
    <xf numFmtId="0" fontId="3" fillId="0" borderId="1" xfId="0" applyFont="1" applyBorder="1" applyAlignment="1">
      <alignment horizontal="left" vertical="center" wrapText="1"/>
    </xf>
    <xf numFmtId="3" fontId="3" fillId="0" borderId="1" xfId="0" applyNumberFormat="1" applyFont="1" applyBorder="1" applyAlignment="1">
      <alignment vertical="center"/>
    </xf>
    <xf numFmtId="0" fontId="27" fillId="0" borderId="1" xfId="0" applyFont="1" applyBorder="1" applyAlignment="1">
      <alignment horizontal="left" vertical="center" wrapText="1"/>
    </xf>
    <xf numFmtId="3" fontId="26" fillId="2" borderId="1" xfId="0" applyNumberFormat="1" applyFont="1" applyFill="1" applyBorder="1" applyAlignment="1">
      <alignment vertical="center" wrapText="1"/>
    </xf>
    <xf numFmtId="168" fontId="26" fillId="0" borderId="1" xfId="0" applyNumberFormat="1" applyFont="1" applyBorder="1" applyAlignment="1">
      <alignment vertical="center" wrapText="1"/>
    </xf>
    <xf numFmtId="3" fontId="25" fillId="2" borderId="1" xfId="0" applyNumberFormat="1" applyFont="1" applyFill="1" applyBorder="1" applyAlignment="1">
      <alignment vertical="center" wrapText="1"/>
    </xf>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3" xfId="0" applyFont="1" applyFill="1" applyBorder="1" applyAlignment="1">
      <alignment vertical="center" wrapText="1"/>
    </xf>
    <xf numFmtId="164" fontId="6" fillId="2" borderId="21" xfId="0" applyNumberFormat="1" applyFont="1" applyFill="1" applyBorder="1" applyAlignment="1">
      <alignment horizontal="right" vertical="center"/>
    </xf>
    <xf numFmtId="164" fontId="6" fillId="2" borderId="22" xfId="0" applyNumberFormat="1" applyFont="1" applyFill="1" applyBorder="1" applyAlignment="1">
      <alignment horizontal="righ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36" fillId="0" borderId="1" xfId="0" applyFont="1" applyBorder="1" applyAlignment="1">
      <alignment vertical="center" wrapText="1"/>
    </xf>
    <xf numFmtId="164" fontId="36"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36"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36" fillId="2" borderId="10" xfId="0" applyNumberFormat="1" applyFont="1" applyFill="1" applyBorder="1" applyAlignment="1">
      <alignment horizontal="right"/>
    </xf>
    <xf numFmtId="164" fontId="36"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36" fillId="2" borderId="16" xfId="0" applyNumberFormat="1" applyFont="1" applyFill="1" applyBorder="1" applyAlignment="1">
      <alignment horizontal="right"/>
    </xf>
    <xf numFmtId="0" fontId="7" fillId="0" borderId="0" xfId="0" applyFont="1" applyAlignment="1">
      <alignment vertical="top"/>
    </xf>
    <xf numFmtId="0" fontId="38" fillId="0" borderId="0" xfId="0" applyFont="1" applyAlignment="1">
      <alignment horizontal="left" vertical="center"/>
    </xf>
    <xf numFmtId="0" fontId="7" fillId="0" borderId="0" xfId="0" applyFont="1" applyAlignment="1">
      <alignment horizontal="left" vertical="center" wrapText="1"/>
    </xf>
    <xf numFmtId="3" fontId="38"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xf>
    <xf numFmtId="0" fontId="5" fillId="0" borderId="0" xfId="0" applyFont="1" applyAlignment="1">
      <alignment horizontal="left"/>
    </xf>
    <xf numFmtId="0" fontId="1" fillId="0" borderId="40" xfId="0" applyFont="1" applyBorder="1" applyAlignment="1">
      <alignment horizontal="center" vertical="top" wrapText="1"/>
    </xf>
    <xf numFmtId="0" fontId="1" fillId="0" borderId="42" xfId="0" applyFont="1" applyBorder="1" applyAlignment="1">
      <alignment horizontal="center" vertical="top" wrapText="1"/>
    </xf>
    <xf numFmtId="0" fontId="5" fillId="0" borderId="38" xfId="0" applyFont="1" applyBorder="1" applyAlignment="1">
      <alignment horizontal="center" vertical="top" wrapText="1"/>
    </xf>
    <xf numFmtId="0" fontId="5" fillId="0" borderId="44" xfId="0" applyFont="1" applyBorder="1" applyAlignment="1">
      <alignment horizontal="center" vertical="top" wrapText="1"/>
    </xf>
    <xf numFmtId="0" fontId="34" fillId="0" borderId="38" xfId="0" applyFont="1" applyBorder="1" applyAlignment="1">
      <alignment horizontal="center" vertical="center"/>
    </xf>
    <xf numFmtId="3" fontId="6" fillId="0" borderId="44" xfId="0" applyNumberFormat="1" applyFont="1" applyBorder="1" applyAlignment="1">
      <alignment horizontal="center" vertical="center"/>
    </xf>
    <xf numFmtId="0" fontId="35" fillId="0" borderId="37" xfId="0" applyFont="1" applyBorder="1" applyAlignment="1">
      <alignment horizontal="center" vertical="center"/>
    </xf>
    <xf numFmtId="3" fontId="5" fillId="0" borderId="44" xfId="0" applyNumberFormat="1" applyFont="1" applyBorder="1" applyAlignment="1">
      <alignment horizontal="center"/>
    </xf>
    <xf numFmtId="0" fontId="6" fillId="0" borderId="37"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9" xfId="0" applyNumberFormat="1" applyFont="1" applyBorder="1" applyAlignment="1">
      <alignment horizontal="center" vertical="center"/>
    </xf>
    <xf numFmtId="0" fontId="5" fillId="0" borderId="37" xfId="0" applyFont="1" applyBorder="1" applyAlignment="1">
      <alignment horizontal="center" vertical="center"/>
    </xf>
    <xf numFmtId="0" fontId="5" fillId="0" borderId="3" xfId="0" applyFont="1" applyBorder="1" applyAlignment="1">
      <alignment horizontal="centerContinuous" vertical="center" wrapText="1"/>
    </xf>
    <xf numFmtId="0" fontId="5" fillId="0" borderId="5" xfId="0" applyFont="1" applyBorder="1" applyAlignment="1">
      <alignment horizontal="left" vertical="center"/>
    </xf>
    <xf numFmtId="3" fontId="5" fillId="0" borderId="39"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39"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164" fontId="5" fillId="0" borderId="44" xfId="0" applyNumberFormat="1" applyFont="1" applyBorder="1" applyAlignment="1">
      <alignment horizontal="center" vertical="center"/>
    </xf>
    <xf numFmtId="169" fontId="6" fillId="0" borderId="39" xfId="0" applyNumberFormat="1" applyFont="1" applyBorder="1" applyAlignment="1">
      <alignment horizontal="center" vertical="center"/>
    </xf>
    <xf numFmtId="0" fontId="0" fillId="2" borderId="0" xfId="0" applyFill="1"/>
    <xf numFmtId="0" fontId="6" fillId="0" borderId="37" xfId="0" applyFont="1" applyBorder="1" applyAlignment="1">
      <alignment horizontal="center"/>
    </xf>
    <xf numFmtId="0" fontId="6" fillId="0" borderId="3" xfId="0" applyFont="1" applyBorder="1" applyAlignment="1">
      <alignment horizontal="left" vertical="center"/>
    </xf>
    <xf numFmtId="3" fontId="6" fillId="0" borderId="39" xfId="0" applyNumberFormat="1" applyFont="1" applyBorder="1" applyAlignment="1">
      <alignment horizontal="center"/>
    </xf>
    <xf numFmtId="0" fontId="5" fillId="0" borderId="45" xfId="0" applyFont="1" applyBorder="1" applyAlignment="1">
      <alignment horizontal="left"/>
    </xf>
    <xf numFmtId="0" fontId="5" fillId="0" borderId="46"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33"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0" fontId="7" fillId="0" borderId="3" xfId="0" applyFont="1" applyBorder="1" applyAlignment="1">
      <alignment horizontal="center" wrapText="1"/>
    </xf>
    <xf numFmtId="0" fontId="7" fillId="0" borderId="3" xfId="0" applyFont="1" applyBorder="1" applyAlignment="1">
      <alignment wrapText="1"/>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7"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28" fillId="0" borderId="0" xfId="0" applyFont="1" applyAlignment="1">
      <alignment horizontal="left"/>
    </xf>
    <xf numFmtId="0" fontId="13" fillId="0" borderId="0" xfId="0" applyFont="1" applyAlignment="1">
      <alignment horizontal="left" wrapText="1"/>
    </xf>
    <xf numFmtId="3" fontId="28" fillId="0" borderId="0" xfId="0" applyNumberFormat="1" applyFont="1" applyAlignment="1">
      <alignment horizontal="left"/>
    </xf>
    <xf numFmtId="2" fontId="13" fillId="0" borderId="0" xfId="0" applyNumberFormat="1" applyFont="1" applyAlignment="1">
      <alignment horizontal="left"/>
    </xf>
    <xf numFmtId="0" fontId="34" fillId="0" borderId="0" xfId="0" applyFont="1"/>
    <xf numFmtId="0" fontId="35" fillId="0" borderId="0" xfId="0" applyFont="1"/>
    <xf numFmtId="0" fontId="40"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8" xfId="0" applyFont="1" applyBorder="1" applyAlignment="1">
      <alignment horizontal="center"/>
    </xf>
    <xf numFmtId="3" fontId="6" fillId="0" borderId="44"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15" fillId="0" borderId="0" xfId="0" applyFont="1" applyAlignment="1">
      <alignment horizontal="left" vertical="center"/>
    </xf>
    <xf numFmtId="164" fontId="7" fillId="2" borderId="12" xfId="0" applyNumberFormat="1" applyFont="1" applyFill="1" applyBorder="1" applyAlignment="1">
      <alignment horizontal="right" vertical="center"/>
    </xf>
    <xf numFmtId="164" fontId="7" fillId="0" borderId="13" xfId="0" applyNumberFormat="1" applyFont="1" applyBorder="1" applyAlignment="1">
      <alignment horizontal="right" vertical="center"/>
    </xf>
    <xf numFmtId="164" fontId="7" fillId="2" borderId="27" xfId="0" applyNumberFormat="1" applyFont="1" applyFill="1" applyBorder="1" applyAlignment="1">
      <alignment horizontal="right" vertical="center"/>
    </xf>
    <xf numFmtId="164" fontId="7" fillId="0" borderId="27" xfId="0" applyNumberFormat="1" applyFont="1" applyBorder="1" applyAlignment="1">
      <alignment horizontal="right" vertical="center"/>
    </xf>
    <xf numFmtId="0" fontId="18" fillId="0" borderId="14" xfId="0" applyFont="1" applyBorder="1" applyAlignment="1">
      <alignment horizontal="center" vertical="center" wrapText="1"/>
    </xf>
    <xf numFmtId="0" fontId="5" fillId="0" borderId="15" xfId="0" applyFont="1" applyBorder="1" applyAlignment="1">
      <alignment horizontal="center" vertical="center" wrapText="1"/>
    </xf>
    <xf numFmtId="49" fontId="5" fillId="0" borderId="15" xfId="0" applyNumberFormat="1" applyFont="1" applyBorder="1" applyAlignment="1">
      <alignment horizontal="center" vertical="center" wrapText="1"/>
    </xf>
    <xf numFmtId="0" fontId="18" fillId="0" borderId="15" xfId="0" applyFont="1" applyBorder="1" applyAlignment="1">
      <alignment horizontal="left" vertical="center" wrapText="1"/>
    </xf>
    <xf numFmtId="0" fontId="5" fillId="0" borderId="15" xfId="0" quotePrefix="1" applyFont="1" applyBorder="1" applyAlignment="1">
      <alignment vertical="center" wrapText="1"/>
    </xf>
    <xf numFmtId="0" fontId="18" fillId="0" borderId="15" xfId="0" applyFont="1" applyBorder="1" applyAlignment="1">
      <alignment horizontal="center" vertical="center" wrapText="1"/>
    </xf>
    <xf numFmtId="164" fontId="13" fillId="2" borderId="15" xfId="0" applyNumberFormat="1" applyFont="1" applyFill="1" applyBorder="1" applyAlignment="1">
      <alignment horizontal="right" vertical="center"/>
    </xf>
    <xf numFmtId="164" fontId="13" fillId="2" borderId="16" xfId="0" applyNumberFormat="1" applyFont="1" applyFill="1" applyBorder="1" applyAlignment="1">
      <alignment horizontal="right" vertical="center"/>
    </xf>
    <xf numFmtId="0" fontId="5" fillId="2" borderId="4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29" xfId="0" applyFont="1" applyBorder="1" applyAlignment="1">
      <alignment horizontal="center" vertical="center" wrapText="1"/>
    </xf>
    <xf numFmtId="49" fontId="7" fillId="2" borderId="11"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wrapText="1"/>
    </xf>
    <xf numFmtId="3" fontId="26" fillId="2" borderId="1" xfId="0" applyNumberFormat="1" applyFont="1" applyFill="1" applyBorder="1" applyAlignment="1">
      <alignment horizontal="left" vertical="center" wrapText="1"/>
    </xf>
    <xf numFmtId="3" fontId="26" fillId="2" borderId="1" xfId="0" applyNumberFormat="1" applyFont="1" applyFill="1" applyBorder="1" applyAlignment="1">
      <alignment horizontal="right" vertical="center"/>
    </xf>
    <xf numFmtId="9" fontId="26" fillId="2" borderId="1" xfId="4" applyFont="1" applyFill="1" applyBorder="1" applyAlignment="1">
      <alignment horizontal="right" vertical="center" wrapText="1"/>
    </xf>
    <xf numFmtId="9" fontId="26" fillId="2" borderId="1" xfId="0" applyNumberFormat="1" applyFont="1" applyFill="1" applyBorder="1" applyAlignment="1">
      <alignment horizontal="right" vertical="center" wrapText="1"/>
    </xf>
    <xf numFmtId="3" fontId="26" fillId="2" borderId="3" xfId="0" applyNumberFormat="1" applyFont="1" applyFill="1" applyBorder="1" applyAlignment="1">
      <alignment horizontal="left" vertical="center" wrapText="1"/>
    </xf>
    <xf numFmtId="3" fontId="26" fillId="2" borderId="43" xfId="0" applyNumberFormat="1" applyFont="1" applyFill="1" applyBorder="1" applyAlignment="1">
      <alignment horizontal="right" vertical="center" wrapText="1"/>
    </xf>
    <xf numFmtId="3" fontId="26" fillId="2" borderId="12" xfId="0" applyNumberFormat="1" applyFont="1" applyFill="1" applyBorder="1" applyAlignment="1">
      <alignment horizontal="right" vertical="center" wrapText="1"/>
    </xf>
    <xf numFmtId="3" fontId="25" fillId="2" borderId="1" xfId="0" applyNumberFormat="1" applyFont="1" applyFill="1" applyBorder="1" applyAlignment="1">
      <alignment horizontal="left" vertical="center" wrapText="1"/>
    </xf>
    <xf numFmtId="3" fontId="25" fillId="2" borderId="3" xfId="0" applyNumberFormat="1" applyFont="1" applyFill="1" applyBorder="1" applyAlignment="1">
      <alignment horizontal="right" vertical="center" wrapText="1"/>
    </xf>
    <xf numFmtId="3" fontId="25" fillId="2" borderId="3" xfId="0" applyNumberFormat="1" applyFont="1" applyFill="1" applyBorder="1" applyAlignment="1">
      <alignment horizontal="center" vertical="center" wrapText="1"/>
    </xf>
    <xf numFmtId="3" fontId="25" fillId="2" borderId="1" xfId="0" applyNumberFormat="1" applyFont="1" applyFill="1" applyBorder="1" applyAlignment="1">
      <alignment horizontal="center" vertical="center" wrapText="1"/>
    </xf>
    <xf numFmtId="9" fontId="25" fillId="2" borderId="1" xfId="0" applyNumberFormat="1" applyFont="1" applyFill="1" applyBorder="1" applyAlignment="1">
      <alignment horizontal="center" vertical="center" wrapText="1"/>
    </xf>
    <xf numFmtId="1" fontId="26" fillId="2" borderId="12" xfId="0" applyNumberFormat="1" applyFont="1" applyFill="1" applyBorder="1" applyAlignment="1">
      <alignment horizontal="center" vertical="center" wrapText="1"/>
    </xf>
    <xf numFmtId="9" fontId="26" fillId="0" borderId="1" xfId="0" applyNumberFormat="1" applyFont="1" applyBorder="1" applyAlignment="1">
      <alignment horizontal="right" vertical="center"/>
    </xf>
    <xf numFmtId="9" fontId="25" fillId="0" borderId="1" xfId="0" applyNumberFormat="1" applyFont="1" applyBorder="1" applyAlignment="1">
      <alignment horizontal="center" vertical="center"/>
    </xf>
    <xf numFmtId="0" fontId="26" fillId="2" borderId="1" xfId="0" applyFont="1" applyFill="1" applyBorder="1" applyAlignment="1">
      <alignment vertical="center" wrapText="1"/>
    </xf>
    <xf numFmtId="9" fontId="26" fillId="2" borderId="1" xfId="0" applyNumberFormat="1" applyFont="1" applyFill="1" applyBorder="1" applyAlignment="1">
      <alignment horizontal="right" vertical="center"/>
    </xf>
    <xf numFmtId="0" fontId="25" fillId="2" borderId="1" xfId="0" applyFont="1" applyFill="1" applyBorder="1" applyAlignment="1">
      <alignment vertical="center" wrapText="1"/>
    </xf>
    <xf numFmtId="3" fontId="25" fillId="2" borderId="1" xfId="0" applyNumberFormat="1" applyFont="1" applyFill="1" applyBorder="1" applyAlignment="1">
      <alignment horizontal="right" vertical="center" wrapText="1"/>
    </xf>
    <xf numFmtId="3" fontId="26" fillId="0" borderId="1" xfId="0" applyNumberFormat="1" applyFont="1" applyBorder="1" applyAlignment="1">
      <alignment vertical="center" wrapText="1"/>
    </xf>
    <xf numFmtId="9" fontId="26" fillId="0" borderId="1" xfId="0" applyNumberFormat="1" applyFont="1" applyBorder="1" applyAlignment="1">
      <alignment vertical="center" wrapText="1"/>
    </xf>
    <xf numFmtId="9" fontId="25" fillId="0" borderId="1" xfId="0" applyNumberFormat="1" applyFont="1" applyBorder="1" applyAlignment="1">
      <alignment horizontal="center" vertical="center" wrapText="1"/>
    </xf>
    <xf numFmtId="3" fontId="26" fillId="2" borderId="5" xfId="0" applyNumberFormat="1" applyFont="1" applyFill="1" applyBorder="1" applyAlignment="1">
      <alignment horizontal="left" vertical="center" wrapText="1"/>
    </xf>
    <xf numFmtId="0" fontId="25" fillId="0" borderId="1" xfId="0" applyFont="1" applyBorder="1" applyAlignment="1">
      <alignment horizontal="left" vertical="center" wrapText="1"/>
    </xf>
    <xf numFmtId="0" fontId="3" fillId="2" borderId="1" xfId="0" applyFont="1" applyFill="1" applyBorder="1" applyAlignment="1">
      <alignment vertical="center" wrapText="1"/>
    </xf>
    <xf numFmtId="0" fontId="41" fillId="2" borderId="1"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49" fontId="5" fillId="0" borderId="11" xfId="0" applyNumberFormat="1" applyFont="1" applyBorder="1" applyAlignment="1">
      <alignment horizontal="center" vertical="center" wrapText="1"/>
    </xf>
    <xf numFmtId="164" fontId="7" fillId="2" borderId="28" xfId="0" applyNumberFormat="1" applyFont="1" applyFill="1" applyBorder="1" applyAlignment="1">
      <alignment horizontal="right" vertical="center"/>
    </xf>
    <xf numFmtId="0" fontId="5" fillId="0" borderId="43"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21" xfId="0" applyFont="1" applyBorder="1" applyAlignment="1">
      <alignment horizontal="center" vertical="center" wrapText="1"/>
    </xf>
    <xf numFmtId="49" fontId="3" fillId="2" borderId="1" xfId="0" applyNumberFormat="1" applyFont="1" applyFill="1" applyBorder="1" applyAlignment="1">
      <alignment horizontal="center" vertical="center" wrapText="1"/>
    </xf>
    <xf numFmtId="0" fontId="26" fillId="2" borderId="1" xfId="0" quotePrefix="1" applyFont="1" applyFill="1" applyBorder="1" applyAlignment="1">
      <alignment horizontal="center" vertical="center" wrapText="1"/>
    </xf>
    <xf numFmtId="0" fontId="26" fillId="0" borderId="1" xfId="0" applyFont="1" applyBorder="1" applyAlignment="1">
      <alignment horizontal="center" vertical="center" wrapText="1"/>
    </xf>
    <xf numFmtId="3" fontId="41" fillId="2" borderId="12" xfId="0" applyNumberFormat="1" applyFont="1" applyFill="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36" fillId="0" borderId="9" xfId="0" applyFont="1" applyBorder="1" applyAlignment="1">
      <alignment vertical="center" wrapText="1"/>
    </xf>
    <xf numFmtId="0" fontId="5" fillId="0" borderId="9" xfId="0" applyFont="1" applyBorder="1" applyAlignment="1">
      <alignment vertical="center" wrapText="1"/>
    </xf>
    <xf numFmtId="164" fontId="36"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36"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14" fillId="0" borderId="9" xfId="0"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164" fontId="8" fillId="0" borderId="1" xfId="0" applyNumberFormat="1" applyFont="1" applyBorder="1" applyAlignment="1">
      <alignment horizontal="right" vertical="center"/>
    </xf>
    <xf numFmtId="164" fontId="8" fillId="0" borderId="10" xfId="0" applyNumberFormat="1" applyFont="1" applyBorder="1" applyAlignment="1">
      <alignment horizontal="right" vertical="center"/>
    </xf>
    <xf numFmtId="0" fontId="8" fillId="0" borderId="6" xfId="0" applyFont="1" applyBorder="1" applyAlignment="1">
      <alignment horizontal="center" vertical="center" wrapText="1"/>
    </xf>
    <xf numFmtId="9" fontId="26" fillId="2" borderId="10" xfId="0" applyNumberFormat="1" applyFont="1" applyFill="1" applyBorder="1" applyAlignment="1">
      <alignment horizontal="right" vertical="center" wrapText="1"/>
    </xf>
    <xf numFmtId="0" fontId="3" fillId="2" borderId="0" xfId="0" applyFont="1" applyFill="1" applyBorder="1" applyAlignment="1">
      <alignment horizontal="left" vertical="center" wrapText="1"/>
    </xf>
    <xf numFmtId="9" fontId="26" fillId="2" borderId="10" xfId="0" applyNumberFormat="1" applyFont="1" applyFill="1" applyBorder="1" applyAlignment="1">
      <alignment horizontal="right" vertical="center"/>
    </xf>
    <xf numFmtId="0" fontId="25" fillId="0" borderId="0" xfId="0" applyFont="1" applyBorder="1" applyAlignment="1">
      <alignment horizontal="right" vertical="center"/>
    </xf>
    <xf numFmtId="9" fontId="25" fillId="2" borderId="10" xfId="0" applyNumberFormat="1" applyFont="1" applyFill="1" applyBorder="1" applyAlignment="1">
      <alignment horizontal="right" vertical="center" wrapText="1"/>
    </xf>
    <xf numFmtId="9" fontId="26" fillId="0" borderId="10" xfId="0" applyNumberFormat="1" applyFont="1" applyBorder="1" applyAlignment="1">
      <alignment horizontal="right" vertical="center"/>
    </xf>
    <xf numFmtId="9" fontId="25" fillId="0" borderId="10" xfId="0" applyNumberFormat="1" applyFont="1" applyBorder="1" applyAlignment="1">
      <alignment horizontal="right" vertical="center"/>
    </xf>
    <xf numFmtId="9" fontId="25" fillId="2" borderId="10" xfId="0" applyNumberFormat="1" applyFont="1" applyFill="1" applyBorder="1" applyAlignment="1">
      <alignment horizontal="right" vertical="center"/>
    </xf>
    <xf numFmtId="168" fontId="25" fillId="0" borderId="16" xfId="0" applyNumberFormat="1" applyFont="1" applyBorder="1" applyAlignment="1">
      <alignment horizontal="right" vertical="center"/>
    </xf>
    <xf numFmtId="168" fontId="25" fillId="0" borderId="19" xfId="0" applyNumberFormat="1" applyFont="1" applyBorder="1" applyAlignment="1">
      <alignment horizontal="right" vertical="center"/>
    </xf>
    <xf numFmtId="168" fontId="25" fillId="0" borderId="13" xfId="0" applyNumberFormat="1" applyFont="1" applyBorder="1" applyAlignment="1">
      <alignment horizontal="right" vertical="center"/>
    </xf>
    <xf numFmtId="0" fontId="15" fillId="0" borderId="15" xfId="0" applyFont="1" applyBorder="1" applyAlignment="1">
      <alignment vertical="center" wrapText="1"/>
    </xf>
    <xf numFmtId="0" fontId="42" fillId="0" borderId="27" xfId="0" applyFont="1" applyBorder="1" applyAlignment="1">
      <alignment vertical="center" wrapText="1"/>
    </xf>
    <xf numFmtId="0" fontId="41" fillId="0" borderId="1" xfId="0" applyFont="1" applyBorder="1" applyAlignment="1">
      <alignment vertical="center" wrapText="1"/>
    </xf>
    <xf numFmtId="0" fontId="35" fillId="2" borderId="1" xfId="0" quotePrefix="1" applyFont="1" applyFill="1" applyBorder="1" applyAlignment="1">
      <alignment vertical="center" wrapText="1"/>
    </xf>
    <xf numFmtId="0" fontId="34" fillId="2" borderId="15" xfId="0" quotePrefix="1" applyFont="1" applyFill="1" applyBorder="1" applyAlignment="1">
      <alignment vertical="center" wrapText="1"/>
    </xf>
    <xf numFmtId="0" fontId="43" fillId="2" borderId="18" xfId="0" quotePrefix="1" applyFont="1" applyFill="1" applyBorder="1" applyAlignment="1">
      <alignment vertical="center" wrapText="1"/>
    </xf>
    <xf numFmtId="0" fontId="35" fillId="2" borderId="12" xfId="0" quotePrefix="1" applyFont="1" applyFill="1" applyBorder="1" applyAlignment="1">
      <alignment vertical="center" wrapText="1"/>
    </xf>
    <xf numFmtId="49" fontId="15" fillId="0" borderId="15" xfId="0" applyNumberFormat="1" applyFont="1" applyBorder="1" applyAlignment="1">
      <alignment vertical="center" wrapText="1"/>
    </xf>
    <xf numFmtId="49" fontId="42" fillId="0" borderId="18" xfId="0" applyNumberFormat="1" applyFont="1" applyBorder="1" applyAlignment="1">
      <alignment vertical="center" wrapText="1"/>
    </xf>
    <xf numFmtId="0" fontId="41" fillId="0" borderId="12" xfId="0" applyFont="1" applyBorder="1" applyAlignment="1">
      <alignment vertical="center" wrapText="1"/>
    </xf>
    <xf numFmtId="3" fontId="15" fillId="0" borderId="15" xfId="0" applyNumberFormat="1" applyFont="1" applyBorder="1" applyAlignment="1">
      <alignment vertical="center" wrapText="1"/>
    </xf>
    <xf numFmtId="3" fontId="42" fillId="0" borderId="18" xfId="0" applyNumberFormat="1" applyFont="1" applyBorder="1" applyAlignment="1">
      <alignment vertical="center" wrapText="1"/>
    </xf>
    <xf numFmtId="49" fontId="35" fillId="0" borderId="1" xfId="0" quotePrefix="1"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12" xfId="0" applyFont="1" applyBorder="1" applyAlignment="1">
      <alignment vertical="center" wrapText="1"/>
    </xf>
    <xf numFmtId="0" fontId="7" fillId="0" borderId="0" xfId="0" applyFont="1" applyFill="1" applyAlignment="1">
      <alignment horizontal="right" vertical="center"/>
    </xf>
    <xf numFmtId="49" fontId="7" fillId="0" borderId="0" xfId="0" applyNumberFormat="1" applyFont="1" applyBorder="1" applyAlignment="1">
      <alignment vertical="center"/>
    </xf>
    <xf numFmtId="0" fontId="7" fillId="0" borderId="0" xfId="0" applyFont="1" applyFill="1" applyBorder="1" applyAlignment="1">
      <alignment horizontal="lef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9" fillId="0" borderId="0" xfId="0" applyNumberFormat="1" applyFont="1"/>
    <xf numFmtId="0" fontId="7" fillId="0" borderId="0" xfId="0" applyFont="1" applyFill="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7" fillId="0" borderId="4" xfId="0" applyFont="1" applyFill="1" applyBorder="1" applyAlignment="1">
      <alignment vertical="center"/>
    </xf>
    <xf numFmtId="0" fontId="15" fillId="0" borderId="0" xfId="0" applyFont="1" applyFill="1" applyBorder="1" applyAlignment="1">
      <alignment horizontal="center" vertical="center" wrapText="1"/>
    </xf>
    <xf numFmtId="0" fontId="44" fillId="0" borderId="0" xfId="0" applyFont="1"/>
    <xf numFmtId="49" fontId="13" fillId="0" borderId="24" xfId="0" applyNumberFormat="1" applyFont="1" applyFill="1" applyBorder="1" applyAlignment="1">
      <alignment horizontal="center" vertical="center" wrapText="1"/>
    </xf>
    <xf numFmtId="49" fontId="13" fillId="0" borderId="25" xfId="0" applyNumberFormat="1" applyFont="1" applyFill="1" applyBorder="1" applyAlignment="1">
      <alignment horizontal="center" vertical="center" wrapText="1"/>
    </xf>
    <xf numFmtId="0" fontId="13" fillId="0" borderId="32" xfId="0" applyFont="1" applyBorder="1" applyAlignment="1">
      <alignment horizontal="center" vertical="center" wrapText="1"/>
    </xf>
    <xf numFmtId="0" fontId="13" fillId="0" borderId="28" xfId="0" applyFont="1" applyBorder="1" applyAlignment="1">
      <alignment horizontal="center" vertical="center" wrapText="1"/>
    </xf>
    <xf numFmtId="0" fontId="21" fillId="0" borderId="14" xfId="0" applyFont="1" applyBorder="1" applyAlignment="1">
      <alignment vertical="center"/>
    </xf>
    <xf numFmtId="49" fontId="21" fillId="0" borderId="15" xfId="0" applyNumberFormat="1" applyFont="1" applyFill="1" applyBorder="1" applyAlignment="1">
      <alignment horizontal="center" vertical="center"/>
    </xf>
    <xf numFmtId="49" fontId="26" fillId="0" borderId="15" xfId="0" applyNumberFormat="1" applyFont="1" applyBorder="1" applyAlignment="1">
      <alignment horizontal="center" vertical="center"/>
    </xf>
    <xf numFmtId="4" fontId="21" fillId="0" borderId="16" xfId="0" applyNumberFormat="1" applyFont="1" applyFill="1" applyBorder="1" applyAlignment="1">
      <alignment horizontal="center" vertical="center" wrapText="1"/>
    </xf>
    <xf numFmtId="0" fontId="25" fillId="0" borderId="14" xfId="0" applyFont="1" applyBorder="1" applyAlignment="1">
      <alignment vertical="center" wrapText="1"/>
    </xf>
    <xf numFmtId="49" fontId="25" fillId="0" borderId="31" xfId="0" applyNumberFormat="1" applyFont="1" applyFill="1" applyBorder="1" applyAlignment="1">
      <alignment horizontal="center" vertical="center"/>
    </xf>
    <xf numFmtId="49" fontId="25" fillId="0" borderId="15" xfId="0" applyNumberFormat="1" applyFont="1" applyBorder="1" applyAlignment="1">
      <alignment horizontal="center" vertical="center"/>
    </xf>
    <xf numFmtId="4" fontId="26" fillId="0" borderId="16" xfId="0" applyNumberFormat="1" applyFont="1" applyBorder="1"/>
    <xf numFmtId="0" fontId="25" fillId="0" borderId="0" xfId="0" applyFont="1"/>
    <xf numFmtId="0" fontId="3" fillId="0" borderId="51" xfId="0" applyFont="1" applyBorder="1" applyAlignment="1">
      <alignment vertical="center" wrapText="1"/>
    </xf>
    <xf numFmtId="4" fontId="26" fillId="0" borderId="19" xfId="0" applyNumberFormat="1" applyFont="1" applyBorder="1"/>
    <xf numFmtId="0" fontId="3" fillId="0" borderId="3" xfId="0" applyFont="1" applyBorder="1" applyAlignment="1">
      <alignment vertical="center" wrapText="1"/>
    </xf>
    <xf numFmtId="4" fontId="26" fillId="0" borderId="10" xfId="0" applyNumberFormat="1" applyFont="1" applyBorder="1"/>
    <xf numFmtId="0" fontId="3" fillId="0" borderId="43" xfId="0" applyFont="1" applyBorder="1" applyAlignment="1">
      <alignment vertical="center" wrapText="1"/>
    </xf>
    <xf numFmtId="4" fontId="26" fillId="0" borderId="13" xfId="0" applyNumberFormat="1" applyFont="1" applyBorder="1"/>
    <xf numFmtId="0" fontId="3" fillId="0" borderId="1" xfId="0" applyFont="1" applyBorder="1" applyAlignment="1">
      <alignment vertical="center" wrapText="1"/>
    </xf>
    <xf numFmtId="4" fontId="26" fillId="0" borderId="10" xfId="0" applyNumberFormat="1" applyFont="1" applyBorder="1" applyAlignment="1">
      <alignment horizontal="right"/>
    </xf>
    <xf numFmtId="4" fontId="3" fillId="0" borderId="10" xfId="0" applyNumberFormat="1" applyFont="1" applyBorder="1" applyAlignment="1">
      <alignment horizontal="right" wrapText="1"/>
    </xf>
    <xf numFmtId="0" fontId="3" fillId="0" borderId="12" xfId="0" applyFont="1" applyBorder="1" applyAlignment="1">
      <alignment vertical="center" wrapText="1"/>
    </xf>
    <xf numFmtId="4" fontId="3" fillId="0" borderId="13" xfId="0" applyNumberFormat="1" applyFont="1" applyBorder="1" applyAlignment="1">
      <alignment horizontal="right" wrapText="1"/>
    </xf>
    <xf numFmtId="0" fontId="45" fillId="0" borderId="21" xfId="0" applyFont="1" applyFill="1" applyBorder="1" applyAlignment="1">
      <alignment vertical="center" wrapText="1"/>
    </xf>
    <xf numFmtId="3" fontId="21" fillId="0" borderId="22" xfId="0" applyNumberFormat="1" applyFont="1" applyFill="1" applyBorder="1" applyAlignment="1">
      <alignment horizontal="center" vertical="center"/>
    </xf>
    <xf numFmtId="49" fontId="26" fillId="0" borderId="0" xfId="0" applyNumberFormat="1" applyFont="1" applyFill="1" applyBorder="1" applyAlignment="1">
      <alignment horizontal="center" vertical="center"/>
    </xf>
    <xf numFmtId="0" fontId="26" fillId="0" borderId="0" xfId="0" applyFont="1" applyFill="1" applyBorder="1" applyAlignment="1">
      <alignment horizontal="center" vertical="center"/>
    </xf>
    <xf numFmtId="49" fontId="21" fillId="0" borderId="0" xfId="0" applyNumberFormat="1" applyFont="1" applyBorder="1" applyAlignment="1">
      <alignment vertical="center"/>
    </xf>
    <xf numFmtId="0" fontId="21" fillId="0" borderId="0" xfId="0" applyFont="1" applyBorder="1" applyAlignment="1">
      <alignment vertical="center"/>
    </xf>
    <xf numFmtId="0" fontId="45" fillId="0" borderId="0" xfId="0" applyFont="1" applyFill="1" applyBorder="1" applyAlignment="1">
      <alignment vertical="center" wrapText="1"/>
    </xf>
    <xf numFmtId="3" fontId="21" fillId="0" borderId="0" xfId="0" applyNumberFormat="1" applyFont="1" applyFill="1" applyBorder="1" applyAlignment="1">
      <alignment vertical="center"/>
    </xf>
    <xf numFmtId="0" fontId="21" fillId="0" borderId="0" xfId="0" applyFont="1" applyAlignment="1">
      <alignment vertical="center"/>
    </xf>
    <xf numFmtId="0" fontId="13" fillId="0" borderId="0" xfId="0" applyFont="1" applyAlignment="1"/>
    <xf numFmtId="0" fontId="13" fillId="0" borderId="0" xfId="0" applyFont="1" applyBorder="1" applyAlignment="1">
      <alignment horizontal="left"/>
    </xf>
    <xf numFmtId="3" fontId="28" fillId="0" borderId="0" xfId="0" applyNumberFormat="1" applyFont="1" applyBorder="1" applyAlignment="1">
      <alignment horizontal="left"/>
    </xf>
    <xf numFmtId="2" fontId="13" fillId="0" borderId="0" xfId="0" applyNumberFormat="1" applyFont="1" applyBorder="1" applyAlignment="1">
      <alignment horizontal="left"/>
    </xf>
    <xf numFmtId="0" fontId="46" fillId="0" borderId="0" xfId="0" applyFont="1" applyBorder="1" applyAlignment="1">
      <alignment vertical="center"/>
    </xf>
    <xf numFmtId="3" fontId="7" fillId="0" borderId="0" xfId="0" applyNumberFormat="1" applyFont="1" applyFill="1" applyAlignment="1" applyProtection="1"/>
    <xf numFmtId="49" fontId="46" fillId="0" borderId="0" xfId="0" applyNumberFormat="1" applyFont="1" applyBorder="1" applyAlignment="1">
      <alignment vertical="center"/>
    </xf>
    <xf numFmtId="0" fontId="47" fillId="0" borderId="0" xfId="0" applyFont="1"/>
    <xf numFmtId="0" fontId="7" fillId="0" borderId="0" xfId="0" applyNumberFormat="1" applyFont="1" applyFill="1" applyAlignment="1" applyProtection="1"/>
    <xf numFmtId="0" fontId="7" fillId="0" borderId="0" xfId="0" applyFont="1" applyFill="1"/>
    <xf numFmtId="0" fontId="46" fillId="0" borderId="0" xfId="0" applyFont="1" applyAlignment="1">
      <alignment vertical="center"/>
    </xf>
    <xf numFmtId="0" fontId="9" fillId="0" borderId="0" xfId="0" applyFont="1" applyFill="1"/>
    <xf numFmtId="0" fontId="9" fillId="0" borderId="0" xfId="0" applyFont="1" applyFill="1" applyBorder="1"/>
    <xf numFmtId="49" fontId="13" fillId="0" borderId="38" xfId="0" applyNumberFormat="1" applyFont="1" applyBorder="1" applyAlignment="1">
      <alignment horizontal="center" vertical="center" wrapText="1"/>
    </xf>
    <xf numFmtId="3" fontId="13" fillId="0" borderId="44" xfId="0" applyNumberFormat="1" applyFont="1" applyBorder="1" applyAlignment="1">
      <alignment horizontal="center" vertical="center" wrapText="1"/>
    </xf>
    <xf numFmtId="0" fontId="7" fillId="0" borderId="37" xfId="0" applyFont="1" applyBorder="1" applyAlignment="1">
      <alignment horizontal="center" vertical="center"/>
    </xf>
    <xf numFmtId="49" fontId="3" fillId="2" borderId="9"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7" xfId="0" applyFont="1" applyBorder="1" applyAlignment="1">
      <alignment horizontal="center" vertical="center" wrapText="1"/>
    </xf>
    <xf numFmtId="0" fontId="26" fillId="2" borderId="17" xfId="0" applyFont="1" applyFill="1" applyBorder="1" applyAlignment="1">
      <alignment horizontal="center" vertical="center"/>
    </xf>
    <xf numFmtId="49" fontId="26" fillId="2" borderId="12" xfId="0" applyNumberFormat="1" applyFont="1" applyFill="1" applyBorder="1" applyAlignment="1">
      <alignment horizontal="center" vertical="center" wrapText="1"/>
    </xf>
    <xf numFmtId="49" fontId="26" fillId="2" borderId="18" xfId="0" applyNumberFormat="1" applyFont="1" applyFill="1" applyBorder="1" applyAlignment="1">
      <alignment horizontal="center" vertical="center" wrapText="1"/>
    </xf>
    <xf numFmtId="0" fontId="41" fillId="2" borderId="27" xfId="0" quotePrefix="1" applyFont="1" applyFill="1" applyBorder="1" applyAlignment="1">
      <alignment horizontal="center" vertical="center" wrapText="1"/>
    </xf>
    <xf numFmtId="49" fontId="26" fillId="2" borderId="11" xfId="0" applyNumberFormat="1" applyFont="1" applyFill="1" applyBorder="1" applyAlignment="1">
      <alignment horizontal="center" vertical="center"/>
    </xf>
    <xf numFmtId="3" fontId="41" fillId="2" borderId="12" xfId="0" applyNumberFormat="1" applyFont="1" applyFill="1" applyBorder="1" applyAlignment="1">
      <alignment horizontal="left" vertical="center" wrapText="1"/>
    </xf>
    <xf numFmtId="0" fontId="26" fillId="2" borderId="9" xfId="0" applyFont="1" applyFill="1" applyBorder="1" applyAlignment="1">
      <alignment horizontal="center" vertical="center" wrapText="1"/>
    </xf>
    <xf numFmtId="0" fontId="26" fillId="2" borderId="1" xfId="0"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0" fontId="41" fillId="2" borderId="1" xfId="0" quotePrefix="1" applyFont="1" applyFill="1" applyBorder="1" applyAlignment="1">
      <alignment horizontal="left" vertical="center" wrapText="1"/>
    </xf>
    <xf numFmtId="3" fontId="5" fillId="0" borderId="12" xfId="0" quotePrefix="1" applyNumberFormat="1" applyFont="1" applyBorder="1" applyAlignment="1">
      <alignment vertical="center" wrapText="1"/>
    </xf>
    <xf numFmtId="3" fontId="5" fillId="0" borderId="10" xfId="0" applyNumberFormat="1" applyFont="1" applyBorder="1" applyAlignment="1">
      <alignment horizontal="right" vertical="center"/>
    </xf>
    <xf numFmtId="3" fontId="5" fillId="0" borderId="1" xfId="0" quotePrefix="1" applyNumberFormat="1" applyFont="1" applyBorder="1" applyAlignment="1">
      <alignment vertical="center" wrapText="1"/>
    </xf>
    <xf numFmtId="3" fontId="5" fillId="0" borderId="27" xfId="0" quotePrefix="1" applyNumberFormat="1" applyFont="1" applyBorder="1" applyAlignment="1">
      <alignment vertical="center" wrapText="1"/>
    </xf>
    <xf numFmtId="3" fontId="5" fillId="0" borderId="28" xfId="0" applyNumberFormat="1" applyFont="1" applyBorder="1" applyAlignment="1">
      <alignment horizontal="right" vertical="center"/>
    </xf>
    <xf numFmtId="0" fontId="5" fillId="2" borderId="18" xfId="0" quotePrefix="1" applyFont="1" applyFill="1" applyBorder="1" applyAlignment="1">
      <alignment vertical="center" wrapText="1"/>
    </xf>
    <xf numFmtId="0" fontId="5" fillId="0" borderId="32" xfId="0" quotePrefix="1" applyFont="1" applyBorder="1" applyAlignment="1">
      <alignment vertical="center" wrapText="1"/>
    </xf>
    <xf numFmtId="164" fontId="7" fillId="2" borderId="10" xfId="0" applyNumberFormat="1" applyFont="1" applyFill="1" applyBorder="1" applyAlignment="1">
      <alignment horizontal="right" vertical="center"/>
    </xf>
    <xf numFmtId="0" fontId="7" fillId="0" borderId="5" xfId="0" quotePrefix="1" applyFont="1" applyBorder="1" applyAlignment="1">
      <alignment vertical="center" wrapText="1"/>
    </xf>
    <xf numFmtId="0" fontId="5" fillId="2" borderId="37" xfId="0"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9" fontId="25" fillId="2" borderId="1" xfId="0" applyNumberFormat="1" applyFont="1" applyFill="1" applyBorder="1" applyAlignment="1">
      <alignment horizontal="center" vertical="center"/>
    </xf>
    <xf numFmtId="3" fontId="41" fillId="2" borderId="1" xfId="0" applyNumberFormat="1" applyFont="1" applyFill="1" applyBorder="1" applyAlignment="1">
      <alignment horizontal="center" vertical="center" wrapText="1"/>
    </xf>
    <xf numFmtId="3" fontId="26" fillId="0" borderId="1" xfId="0" applyNumberFormat="1" applyFont="1" applyFill="1" applyBorder="1" applyAlignment="1">
      <alignment vertical="center" wrapText="1"/>
    </xf>
    <xf numFmtId="3" fontId="26" fillId="0" borderId="1" xfId="0" applyNumberFormat="1" applyFont="1" applyFill="1" applyBorder="1" applyAlignment="1">
      <alignment horizontal="center" vertical="center" wrapText="1"/>
    </xf>
    <xf numFmtId="0" fontId="26" fillId="0" borderId="1" xfId="0" applyFont="1" applyFill="1" applyBorder="1" applyAlignment="1">
      <alignment vertical="center" wrapText="1"/>
    </xf>
    <xf numFmtId="0" fontId="26" fillId="0" borderId="1" xfId="0" applyFont="1" applyFill="1" applyBorder="1" applyAlignment="1">
      <alignment horizontal="center" vertical="center" wrapText="1"/>
    </xf>
    <xf numFmtId="0" fontId="49" fillId="0" borderId="0" xfId="0" applyFont="1" applyAlignment="1">
      <alignment horizontal="center" vertical="center" wrapText="1"/>
    </xf>
    <xf numFmtId="0" fontId="26" fillId="0" borderId="3" xfId="0" applyFont="1" applyFill="1" applyBorder="1" applyAlignment="1">
      <alignment vertical="center" wrapText="1"/>
    </xf>
    <xf numFmtId="0" fontId="25" fillId="0" borderId="1" xfId="0" applyFont="1" applyFill="1" applyBorder="1" applyAlignment="1">
      <alignment vertical="center" wrapText="1"/>
    </xf>
    <xf numFmtId="3" fontId="25" fillId="0" borderId="1" xfId="0" applyNumberFormat="1" applyFont="1" applyBorder="1" applyAlignment="1">
      <alignment vertical="center" wrapText="1"/>
    </xf>
    <xf numFmtId="0" fontId="25" fillId="0" borderId="3" xfId="0" applyFont="1" applyFill="1" applyBorder="1" applyAlignment="1">
      <alignment vertical="center" wrapText="1"/>
    </xf>
    <xf numFmtId="9" fontId="26" fillId="0" borderId="1" xfId="0" applyNumberFormat="1" applyFont="1" applyBorder="1" applyAlignment="1">
      <alignment horizontal="center" vertical="center" wrapText="1"/>
    </xf>
    <xf numFmtId="3" fontId="25" fillId="0" borderId="3" xfId="0" applyNumberFormat="1" applyFont="1" applyFill="1" applyBorder="1" applyAlignment="1">
      <alignment vertical="center" wrapText="1"/>
    </xf>
    <xf numFmtId="9" fontId="25" fillId="2" borderId="1" xfId="0" applyNumberFormat="1" applyFont="1" applyFill="1" applyBorder="1" applyAlignment="1">
      <alignment horizontal="right" vertical="center"/>
    </xf>
    <xf numFmtId="0" fontId="25" fillId="2" borderId="12" xfId="0" applyFont="1" applyFill="1" applyBorder="1" applyAlignment="1">
      <alignment horizontal="left" vertical="center" wrapText="1"/>
    </xf>
    <xf numFmtId="3" fontId="25" fillId="2" borderId="12" xfId="0" applyNumberFormat="1" applyFont="1" applyFill="1" applyBorder="1" applyAlignment="1">
      <alignment horizontal="right" vertical="center" wrapText="1"/>
    </xf>
    <xf numFmtId="3" fontId="25" fillId="2" borderId="12" xfId="0" applyNumberFormat="1" applyFont="1" applyFill="1" applyBorder="1" applyAlignment="1">
      <alignment horizontal="right" vertical="center"/>
    </xf>
    <xf numFmtId="9" fontId="25" fillId="2" borderId="12" xfId="0" applyNumberFormat="1" applyFont="1" applyFill="1" applyBorder="1" applyAlignment="1">
      <alignment horizontal="right" vertical="center" wrapText="1"/>
    </xf>
    <xf numFmtId="9" fontId="25" fillId="2" borderId="12" xfId="0" applyNumberFormat="1" applyFont="1" applyFill="1" applyBorder="1" applyAlignment="1">
      <alignment horizontal="right" vertical="center"/>
    </xf>
    <xf numFmtId="0" fontId="37"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32" fillId="0" borderId="0" xfId="0" applyFont="1" applyAlignment="1">
      <alignment horizontal="left"/>
    </xf>
    <xf numFmtId="0" fontId="7" fillId="0" borderId="0" xfId="0" applyFont="1" applyAlignment="1">
      <alignment horizontal="left" vertical="center"/>
    </xf>
    <xf numFmtId="0" fontId="34" fillId="0" borderId="0" xfId="0" applyFont="1" applyAlignment="1">
      <alignment horizontal="center"/>
    </xf>
    <xf numFmtId="0" fontId="35" fillId="0" borderId="0" xfId="0" applyFont="1" applyAlignment="1">
      <alignment horizontal="center"/>
    </xf>
    <xf numFmtId="0" fontId="7" fillId="0" borderId="4" xfId="0" applyFont="1" applyFill="1" applyBorder="1" applyAlignment="1">
      <alignment horizontal="left" wrapText="1"/>
    </xf>
    <xf numFmtId="0" fontId="7" fillId="0" borderId="0" xfId="0" applyFont="1" applyFill="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6" fillId="2" borderId="37" xfId="0" applyFont="1" applyFill="1" applyBorder="1" applyAlignment="1">
      <alignment horizontal="left" vertical="center"/>
    </xf>
    <xf numFmtId="0" fontId="5" fillId="2" borderId="4" xfId="0" applyFont="1" applyFill="1" applyBorder="1" applyAlignment="1">
      <alignment horizontal="left"/>
    </xf>
    <xf numFmtId="0" fontId="5" fillId="2" borderId="39" xfId="0" applyFont="1" applyFill="1" applyBorder="1" applyAlignment="1">
      <alignment horizontal="left"/>
    </xf>
    <xf numFmtId="164" fontId="6" fillId="2" borderId="37"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9"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9" xfId="0" applyFont="1" applyBorder="1" applyAlignment="1">
      <alignment horizontal="center"/>
    </xf>
    <xf numFmtId="0" fontId="6" fillId="0" borderId="1" xfId="0" applyFont="1" applyBorder="1" applyAlignment="1">
      <alignment horizontal="center"/>
    </xf>
    <xf numFmtId="0" fontId="6" fillId="0" borderId="13"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7"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11" xfId="0" applyFont="1" applyBorder="1" applyAlignment="1">
      <alignment horizontal="center"/>
    </xf>
    <xf numFmtId="0" fontId="6" fillId="0" borderId="12" xfId="0" applyFont="1" applyBorder="1" applyAlignment="1">
      <alignment horizontal="center"/>
    </xf>
    <xf numFmtId="0" fontId="7" fillId="0" borderId="0" xfId="0" applyFont="1" applyAlignment="1">
      <alignment horizontal="center" vertical="center"/>
    </xf>
    <xf numFmtId="0" fontId="5" fillId="0" borderId="0" xfId="0" applyFont="1" applyAlignment="1">
      <alignment horizontal="left"/>
    </xf>
    <xf numFmtId="0" fontId="1" fillId="0" borderId="41" xfId="0" applyFont="1" applyBorder="1" applyAlignment="1">
      <alignment horizontal="center" vertical="top" wrapText="1"/>
    </xf>
    <xf numFmtId="0" fontId="1" fillId="0" borderId="30" xfId="0" applyFont="1" applyBorder="1" applyAlignment="1">
      <alignment horizontal="center" vertical="top" wrapText="1"/>
    </xf>
    <xf numFmtId="0" fontId="5" fillId="0" borderId="43" xfId="0" applyFont="1" applyBorder="1" applyAlignment="1">
      <alignment horizontal="center" vertical="top" wrapText="1"/>
    </xf>
    <xf numFmtId="0" fontId="5" fillId="0" borderId="23" xfId="0" applyFont="1" applyBorder="1" applyAlignment="1">
      <alignment horizontal="center" vertical="top"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5" fillId="0" borderId="0" xfId="0" applyFont="1" applyAlignment="1">
      <alignment horizontal="center" wrapText="1"/>
    </xf>
    <xf numFmtId="0" fontId="5" fillId="0" borderId="21" xfId="0" applyFont="1" applyBorder="1" applyAlignment="1">
      <alignment horizontal="center" vertical="center" wrapText="1"/>
    </xf>
    <xf numFmtId="1" fontId="4" fillId="0" borderId="0" xfId="0" quotePrefix="1" applyNumberFormat="1" applyFont="1" applyAlignment="1">
      <alignment horizontal="left"/>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3" xfId="0" applyFont="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0" fontId="49" fillId="0" borderId="12" xfId="0" applyFont="1" applyBorder="1" applyAlignment="1">
      <alignment horizontal="center" vertical="center"/>
    </xf>
    <xf numFmtId="0" fontId="49" fillId="0" borderId="18" xfId="0" applyFont="1" applyBorder="1" applyAlignment="1">
      <alignment horizontal="center" vertical="center"/>
    </xf>
    <xf numFmtId="49" fontId="26" fillId="2" borderId="12" xfId="0" applyNumberFormat="1" applyFont="1" applyFill="1" applyBorder="1" applyAlignment="1">
      <alignment horizontal="center" vertical="center" wrapText="1"/>
    </xf>
    <xf numFmtId="49" fontId="26" fillId="2" borderId="18"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27" xfId="0" applyFont="1" applyBorder="1" applyAlignment="1">
      <alignment horizontal="center" vertical="center" wrapText="1"/>
    </xf>
    <xf numFmtId="49" fontId="26" fillId="2" borderId="27" xfId="0" applyNumberFormat="1" applyFont="1" applyFill="1" applyBorder="1" applyAlignment="1">
      <alignment horizontal="center" vertical="center" wrapText="1"/>
    </xf>
    <xf numFmtId="0" fontId="26" fillId="2" borderId="11" xfId="0" applyFont="1" applyFill="1" applyBorder="1" applyAlignment="1">
      <alignment horizontal="center" vertical="center"/>
    </xf>
    <xf numFmtId="0" fontId="26" fillId="2" borderId="17" xfId="0" applyFont="1" applyFill="1" applyBorder="1" applyAlignment="1">
      <alignment horizontal="center" vertical="center"/>
    </xf>
    <xf numFmtId="0" fontId="41" fillId="2" borderId="12" xfId="0" quotePrefix="1" applyFont="1" applyFill="1" applyBorder="1" applyAlignment="1">
      <alignment horizontal="center" vertical="center" wrapText="1"/>
    </xf>
    <xf numFmtId="0" fontId="41" fillId="2" borderId="18" xfId="0" quotePrefix="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8"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5" fillId="0" borderId="12" xfId="0" quotePrefix="1" applyNumberFormat="1" applyFont="1" applyFill="1" applyBorder="1" applyAlignment="1">
      <alignment horizontal="center" vertical="center" wrapText="1"/>
    </xf>
    <xf numFmtId="49" fontId="35" fillId="0" borderId="18" xfId="0" quotePrefix="1" applyNumberFormat="1"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2" borderId="26"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41" fillId="2" borderId="27" xfId="0" quotePrefix="1" applyFont="1" applyFill="1" applyBorder="1" applyAlignment="1">
      <alignment horizontal="center" vertical="center" wrapText="1"/>
    </xf>
    <xf numFmtId="0" fontId="26" fillId="0" borderId="27" xfId="0" applyFont="1" applyBorder="1" applyAlignment="1">
      <alignment horizontal="center" vertical="center" wrapText="1"/>
    </xf>
    <xf numFmtId="0" fontId="41" fillId="2" borderId="12" xfId="0" quotePrefix="1" applyFont="1" applyFill="1" applyBorder="1" applyAlignment="1">
      <alignment horizontal="left" vertical="center" wrapText="1"/>
    </xf>
    <xf numFmtId="0" fontId="41" fillId="2" borderId="27" xfId="0" quotePrefix="1" applyFont="1" applyFill="1" applyBorder="1" applyAlignment="1">
      <alignment horizontal="left" vertical="center" wrapText="1"/>
    </xf>
    <xf numFmtId="0" fontId="41" fillId="2" borderId="18" xfId="0" quotePrefix="1" applyFont="1" applyFill="1" applyBorder="1" applyAlignment="1">
      <alignment horizontal="left" vertical="center" wrapText="1"/>
    </xf>
    <xf numFmtId="0" fontId="26" fillId="0" borderId="12" xfId="0" applyFont="1" applyFill="1" applyBorder="1" applyAlignment="1">
      <alignment horizontal="center" vertical="center" wrapText="1"/>
    </xf>
    <xf numFmtId="0" fontId="26" fillId="0" borderId="18" xfId="0" applyFont="1" applyFill="1" applyBorder="1" applyAlignment="1">
      <alignment horizontal="center" vertical="center" wrapText="1"/>
    </xf>
    <xf numFmtId="49" fontId="26" fillId="2" borderId="11" xfId="0" applyNumberFormat="1" applyFont="1" applyFill="1" applyBorder="1" applyAlignment="1">
      <alignment horizontal="center" vertical="center"/>
    </xf>
    <xf numFmtId="0" fontId="31" fillId="2" borderId="17" xfId="0" applyFont="1" applyFill="1" applyBorder="1" applyAlignment="1">
      <alignment horizontal="center" vertical="center"/>
    </xf>
    <xf numFmtId="0" fontId="31" fillId="2" borderId="18" xfId="0" applyFont="1" applyFill="1" applyBorder="1" applyAlignment="1">
      <alignment horizontal="center" vertical="center" wrapText="1"/>
    </xf>
    <xf numFmtId="3" fontId="41" fillId="2" borderId="12" xfId="0" applyNumberFormat="1" applyFont="1" applyFill="1" applyBorder="1" applyAlignment="1">
      <alignment horizontal="left" vertical="center" wrapText="1"/>
    </xf>
    <xf numFmtId="0" fontId="40" fillId="2" borderId="18" xfId="0" applyFont="1" applyFill="1" applyBorder="1" applyAlignment="1">
      <alignment horizontal="left" vertical="center" wrapText="1"/>
    </xf>
    <xf numFmtId="3" fontId="26" fillId="2" borderId="12" xfId="0" applyNumberFormat="1" applyFont="1" applyFill="1" applyBorder="1" applyAlignment="1">
      <alignment horizontal="center" vertical="center" wrapText="1"/>
    </xf>
    <xf numFmtId="3" fontId="26" fillId="2" borderId="18" xfId="0" applyNumberFormat="1"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 xfId="0"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0" fontId="41" fillId="2" borderId="1" xfId="0" quotePrefix="1" applyFont="1" applyFill="1" applyBorder="1" applyAlignment="1">
      <alignment horizontal="left" vertical="center" wrapText="1"/>
    </xf>
    <xf numFmtId="3" fontId="26" fillId="0" borderId="1"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center" vertical="center" wrapText="1"/>
    </xf>
    <xf numFmtId="0" fontId="24" fillId="0" borderId="0" xfId="0" applyFont="1" applyAlignment="1">
      <alignment horizontal="left" vertical="center" wrapText="1"/>
    </xf>
    <xf numFmtId="49" fontId="7" fillId="0" borderId="34"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35"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15" fillId="0" borderId="0" xfId="0" applyFont="1" applyBorder="1" applyAlignment="1">
      <alignment horizontal="center" vertical="center"/>
    </xf>
    <xf numFmtId="0" fontId="13" fillId="0" borderId="48"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38" fillId="0" borderId="48" xfId="0" applyFont="1" applyFill="1" applyBorder="1" applyAlignment="1">
      <alignment horizontal="center" vertical="center" wrapText="1"/>
    </xf>
    <xf numFmtId="0" fontId="38" fillId="0" borderId="49" xfId="0" applyFont="1" applyFill="1" applyBorder="1" applyAlignment="1">
      <alignment horizontal="center" vertical="center" wrapText="1"/>
    </xf>
    <xf numFmtId="0" fontId="26" fillId="0" borderId="26" xfId="0" applyFont="1" applyBorder="1" applyAlignment="1">
      <alignment horizontal="center" vertical="center"/>
    </xf>
    <xf numFmtId="0" fontId="26" fillId="0" borderId="24" xfId="0" applyFont="1" applyBorder="1" applyAlignment="1">
      <alignment horizontal="center" vertical="center"/>
    </xf>
    <xf numFmtId="0" fontId="26" fillId="0" borderId="27" xfId="0" applyFont="1" applyFill="1" applyBorder="1" applyAlignment="1">
      <alignment horizontal="center" vertical="center"/>
    </xf>
    <xf numFmtId="0" fontId="26" fillId="0" borderId="25" xfId="0" applyFont="1" applyFill="1" applyBorder="1" applyAlignment="1">
      <alignment horizontal="center" vertical="center"/>
    </xf>
    <xf numFmtId="49" fontId="26" fillId="0" borderId="27" xfId="0" applyNumberFormat="1" applyFont="1" applyFill="1" applyBorder="1" applyAlignment="1">
      <alignment horizontal="center" vertical="center"/>
    </xf>
    <xf numFmtId="49" fontId="26" fillId="0" borderId="25" xfId="0" applyNumberFormat="1" applyFont="1" applyFill="1" applyBorder="1" applyAlignment="1">
      <alignment horizontal="center" vertical="center"/>
    </xf>
    <xf numFmtId="0" fontId="26" fillId="0" borderId="50" xfId="0" quotePrefix="1" applyFont="1" applyFill="1" applyBorder="1" applyAlignment="1">
      <alignment horizontal="center" vertical="center" wrapText="1"/>
    </xf>
    <xf numFmtId="0" fontId="26" fillId="0" borderId="50" xfId="0" applyFont="1" applyFill="1" applyBorder="1" applyAlignment="1">
      <alignment horizontal="center" vertical="center" wrapText="1"/>
    </xf>
    <xf numFmtId="0" fontId="26" fillId="0" borderId="52" xfId="0" applyFont="1" applyFill="1" applyBorder="1" applyAlignment="1">
      <alignment horizontal="center" vertical="center" wrapText="1"/>
    </xf>
    <xf numFmtId="49" fontId="26" fillId="0" borderId="34" xfId="0" applyNumberFormat="1" applyFont="1" applyFill="1" applyBorder="1" applyAlignment="1">
      <alignment horizontal="center" vertical="center"/>
    </xf>
    <xf numFmtId="49" fontId="26" fillId="0" borderId="26" xfId="0" applyNumberFormat="1" applyFont="1" applyFill="1" applyBorder="1" applyAlignment="1">
      <alignment horizontal="center" vertical="center"/>
    </xf>
    <xf numFmtId="0" fontId="26" fillId="0" borderId="53" xfId="0" applyFont="1" applyFill="1" applyBorder="1" applyAlignment="1">
      <alignment horizontal="center" vertical="center"/>
    </xf>
    <xf numFmtId="0" fontId="26" fillId="0" borderId="32" xfId="0" applyFont="1" applyFill="1" applyBorder="1" applyAlignment="1">
      <alignment horizontal="center" vertical="center"/>
    </xf>
    <xf numFmtId="49" fontId="26" fillId="0" borderId="35" xfId="0" applyNumberFormat="1" applyFont="1" applyFill="1" applyBorder="1" applyAlignment="1">
      <alignment horizontal="center" vertical="center"/>
    </xf>
    <xf numFmtId="0" fontId="26" fillId="0" borderId="54" xfId="0" applyFont="1" applyFill="1" applyBorder="1" applyAlignment="1">
      <alignment horizontal="center" vertical="center" wrapText="1"/>
    </xf>
    <xf numFmtId="0" fontId="21" fillId="0" borderId="55" xfId="0" applyFont="1" applyBorder="1" applyAlignment="1">
      <alignment horizontal="center" vertical="center"/>
    </xf>
    <xf numFmtId="0" fontId="21" fillId="0" borderId="56" xfId="0" applyFont="1" applyBorder="1" applyAlignment="1">
      <alignment horizontal="center" vertical="center"/>
    </xf>
    <xf numFmtId="0" fontId="21" fillId="0" borderId="33" xfId="0" applyFont="1" applyBorder="1" applyAlignment="1">
      <alignment horizontal="center" vertical="center"/>
    </xf>
    <xf numFmtId="0" fontId="15" fillId="0" borderId="0" xfId="0" applyFont="1" applyFill="1" applyBorder="1" applyAlignment="1">
      <alignment horizontal="center" wrapText="1"/>
    </xf>
    <xf numFmtId="49" fontId="9" fillId="0" borderId="34" xfId="0" applyNumberFormat="1" applyFont="1" applyFill="1" applyBorder="1" applyAlignment="1">
      <alignment horizontal="center" vertical="center" wrapText="1"/>
    </xf>
    <xf numFmtId="49" fontId="9" fillId="0" borderId="26" xfId="0" applyNumberFormat="1" applyFont="1" applyFill="1" applyBorder="1" applyAlignment="1">
      <alignment horizontal="center" vertical="center" wrapText="1"/>
    </xf>
    <xf numFmtId="49" fontId="9" fillId="0" borderId="24" xfId="0" applyNumberFormat="1" applyFont="1" applyFill="1" applyBorder="1" applyAlignment="1">
      <alignment horizontal="center" vertical="center" wrapText="1"/>
    </xf>
    <xf numFmtId="49" fontId="9" fillId="0" borderId="35" xfId="0" applyNumberFormat="1" applyFont="1" applyFill="1" applyBorder="1" applyAlignment="1">
      <alignment horizontal="center" vertical="center" wrapText="1"/>
    </xf>
    <xf numFmtId="49" fontId="9" fillId="0" borderId="27"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21" xfId="0" applyFont="1" applyBorder="1" applyAlignment="1">
      <alignment horizontal="center" vertical="center" wrapText="1"/>
    </xf>
    <xf numFmtId="49" fontId="20" fillId="0" borderId="8" xfId="0" applyNumberFormat="1"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22" xfId="0" applyFont="1" applyBorder="1" applyAlignment="1">
      <alignment horizontal="center" vertical="center" wrapText="1"/>
    </xf>
  </cellXfs>
  <cellStyles count="5">
    <cellStyle name="Обычный" xfId="0" builtinId="0"/>
    <cellStyle name="Обычный 2" xfId="3"/>
    <cellStyle name="Обычный 9 2 4 2 2" xfId="2"/>
    <cellStyle name="Процентный" xfId="4" builtinId="5"/>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86"/>
  <sheetViews>
    <sheetView view="pageBreakPreview" topLeftCell="A75" zoomScale="92" zoomScaleNormal="100" zoomScaleSheetLayoutView="92" workbookViewId="0">
      <selection activeCell="E82" sqref="E82"/>
    </sheetView>
  </sheetViews>
  <sheetFormatPr defaultColWidth="8.88671875" defaultRowHeight="13.8" x14ac:dyDescent="0.3"/>
  <cols>
    <col min="1" max="1" width="11.33203125" customWidth="1"/>
    <col min="2" max="2" width="47.33203125" customWidth="1"/>
    <col min="3" max="3" width="17.88671875" customWidth="1"/>
    <col min="4" max="4" width="18.33203125" customWidth="1"/>
    <col min="5" max="6" width="15.6640625" customWidth="1"/>
  </cols>
  <sheetData>
    <row r="1" spans="1:9" ht="15.6" x14ac:dyDescent="0.3">
      <c r="D1" s="177" t="s">
        <v>165</v>
      </c>
      <c r="E1" s="4"/>
    </row>
    <row r="2" spans="1:9" ht="15.6" x14ac:dyDescent="0.3">
      <c r="D2" s="177" t="s">
        <v>631</v>
      </c>
      <c r="E2" s="4"/>
    </row>
    <row r="3" spans="1:9" ht="15.6" x14ac:dyDescent="0.3">
      <c r="D3" s="178" t="s">
        <v>632</v>
      </c>
      <c r="E3" s="7"/>
    </row>
    <row r="4" spans="1:9" ht="15.6" x14ac:dyDescent="0.3">
      <c r="D4" s="723" t="s">
        <v>633</v>
      </c>
      <c r="E4" s="723"/>
    </row>
    <row r="5" spans="1:9" ht="15.6" x14ac:dyDescent="0.3">
      <c r="D5" s="724" t="s">
        <v>540</v>
      </c>
      <c r="E5" s="724"/>
    </row>
    <row r="6" spans="1:9" ht="15.6" x14ac:dyDescent="0.3">
      <c r="D6" s="726" t="s">
        <v>536</v>
      </c>
      <c r="E6" s="726"/>
      <c r="F6" s="726"/>
      <c r="G6" s="726"/>
      <c r="H6" s="726"/>
      <c r="I6" s="726"/>
    </row>
    <row r="7" spans="1:9" ht="15.6" x14ac:dyDescent="0.3">
      <c r="D7" s="725" t="s">
        <v>294</v>
      </c>
      <c r="E7" s="725"/>
      <c r="F7" s="725"/>
      <c r="G7" s="362"/>
      <c r="H7" s="362"/>
      <c r="I7" s="362"/>
    </row>
    <row r="8" spans="1:9" ht="15.6" x14ac:dyDescent="0.3">
      <c r="D8" s="720" t="s">
        <v>342</v>
      </c>
      <c r="E8" s="720"/>
      <c r="F8" s="720"/>
      <c r="G8" s="362"/>
      <c r="H8" s="362"/>
      <c r="I8" s="362"/>
    </row>
    <row r="9" spans="1:9" ht="15.6" x14ac:dyDescent="0.3">
      <c r="D9" s="720" t="s">
        <v>296</v>
      </c>
      <c r="E9" s="720"/>
      <c r="F9" s="720"/>
      <c r="G9" s="362"/>
      <c r="H9" s="362"/>
      <c r="I9" s="362"/>
    </row>
    <row r="10" spans="1:9" ht="15.6" x14ac:dyDescent="0.3">
      <c r="D10" s="719" t="s">
        <v>537</v>
      </c>
      <c r="E10" s="719"/>
      <c r="F10" s="719"/>
      <c r="G10" s="725"/>
      <c r="H10" s="725"/>
      <c r="I10" s="725"/>
    </row>
    <row r="11" spans="1:9" ht="15.6" x14ac:dyDescent="0.3">
      <c r="D11" s="719" t="s">
        <v>343</v>
      </c>
      <c r="E11" s="712"/>
      <c r="F11" s="712"/>
      <c r="G11" s="720"/>
      <c r="H11" s="720"/>
      <c r="I11" s="720"/>
    </row>
    <row r="12" spans="1:9" ht="15.6" x14ac:dyDescent="0.3">
      <c r="D12" s="712" t="s">
        <v>538</v>
      </c>
      <c r="E12" s="712"/>
      <c r="F12" s="712"/>
      <c r="G12" s="720"/>
      <c r="H12" s="720"/>
      <c r="I12" s="720"/>
    </row>
    <row r="13" spans="1:9" ht="34.5" customHeight="1" x14ac:dyDescent="0.35">
      <c r="A13" s="721" t="s">
        <v>344</v>
      </c>
      <c r="B13" s="722"/>
      <c r="C13" s="722"/>
      <c r="D13" s="722"/>
      <c r="E13" s="722"/>
      <c r="F13" s="722"/>
      <c r="G13" s="719"/>
      <c r="H13" s="719"/>
      <c r="I13" s="719"/>
    </row>
    <row r="14" spans="1:9" ht="15.6" x14ac:dyDescent="0.3">
      <c r="A14" s="711" t="s">
        <v>166</v>
      </c>
      <c r="B14" s="711"/>
      <c r="C14" s="1"/>
      <c r="D14" s="1"/>
      <c r="E14" s="1"/>
      <c r="F14" s="1"/>
      <c r="G14" s="712"/>
      <c r="H14" s="712"/>
      <c r="I14" s="712"/>
    </row>
    <row r="15" spans="1:9" ht="16.2" thickBot="1" x14ac:dyDescent="0.35">
      <c r="A15" s="1" t="s">
        <v>0</v>
      </c>
      <c r="B15" s="1"/>
      <c r="C15" s="1"/>
      <c r="D15" s="1"/>
      <c r="E15" s="1"/>
      <c r="F15" s="2" t="s">
        <v>297</v>
      </c>
      <c r="G15" s="712"/>
      <c r="H15" s="712"/>
      <c r="I15" s="712"/>
    </row>
    <row r="16" spans="1:9" ht="15.6" x14ac:dyDescent="0.3">
      <c r="A16" s="713" t="s">
        <v>345</v>
      </c>
      <c r="B16" s="715" t="s">
        <v>346</v>
      </c>
      <c r="C16" s="715" t="s">
        <v>1</v>
      </c>
      <c r="D16" s="715" t="s">
        <v>2</v>
      </c>
      <c r="E16" s="715" t="s">
        <v>3</v>
      </c>
      <c r="F16" s="717"/>
    </row>
    <row r="17" spans="1:7" x14ac:dyDescent="0.3">
      <c r="A17" s="714"/>
      <c r="B17" s="716"/>
      <c r="C17" s="716"/>
      <c r="D17" s="716"/>
      <c r="E17" s="716" t="s">
        <v>4</v>
      </c>
      <c r="F17" s="718" t="s">
        <v>5</v>
      </c>
    </row>
    <row r="18" spans="1:7" x14ac:dyDescent="0.3">
      <c r="A18" s="714"/>
      <c r="B18" s="716"/>
      <c r="C18" s="716"/>
      <c r="D18" s="716"/>
      <c r="E18" s="716"/>
      <c r="F18" s="718"/>
    </row>
    <row r="19" spans="1:7" ht="15.6" x14ac:dyDescent="0.3">
      <c r="A19" s="66">
        <v>1</v>
      </c>
      <c r="B19" s="537">
        <v>2</v>
      </c>
      <c r="C19" s="537">
        <v>3</v>
      </c>
      <c r="D19" s="537">
        <v>4</v>
      </c>
      <c r="E19" s="537">
        <v>5</v>
      </c>
      <c r="F19" s="545">
        <v>6</v>
      </c>
    </row>
    <row r="20" spans="1:7" ht="15.6" x14ac:dyDescent="0.3">
      <c r="A20" s="546" t="s">
        <v>347</v>
      </c>
      <c r="B20" s="363" t="s">
        <v>348</v>
      </c>
      <c r="C20" s="364">
        <f t="shared" ref="C20:C27" si="0">D20</f>
        <v>418595400</v>
      </c>
      <c r="D20" s="364">
        <f>D21+D24+D28</f>
        <v>418595400</v>
      </c>
      <c r="E20" s="365">
        <f>E42</f>
        <v>359600</v>
      </c>
      <c r="F20" s="547">
        <v>0</v>
      </c>
      <c r="G20" s="366"/>
    </row>
    <row r="21" spans="1:7" ht="45" customHeight="1" x14ac:dyDescent="0.3">
      <c r="A21" s="548" t="s">
        <v>349</v>
      </c>
      <c r="B21" s="367" t="s">
        <v>350</v>
      </c>
      <c r="C21" s="368">
        <f t="shared" si="0"/>
        <v>239686500</v>
      </c>
      <c r="D21" s="368">
        <f>D22+D23</f>
        <v>239686500</v>
      </c>
      <c r="E21" s="365">
        <v>0</v>
      </c>
      <c r="F21" s="547">
        <v>0</v>
      </c>
      <c r="G21" s="366"/>
    </row>
    <row r="22" spans="1:7" ht="21" customHeight="1" x14ac:dyDescent="0.3">
      <c r="A22" s="549" t="s">
        <v>351</v>
      </c>
      <c r="B22" s="369" t="s">
        <v>352</v>
      </c>
      <c r="C22" s="33">
        <f t="shared" si="0"/>
        <v>239584200</v>
      </c>
      <c r="D22" s="33">
        <f>207344500+32239700</f>
        <v>239584200</v>
      </c>
      <c r="E22" s="365">
        <v>0</v>
      </c>
      <c r="F22" s="547">
        <v>0</v>
      </c>
      <c r="G22" s="366"/>
    </row>
    <row r="23" spans="1:7" ht="15.6" x14ac:dyDescent="0.3">
      <c r="A23" s="549" t="s">
        <v>353</v>
      </c>
      <c r="B23" s="369" t="s">
        <v>354</v>
      </c>
      <c r="C23" s="33">
        <f t="shared" si="0"/>
        <v>102300</v>
      </c>
      <c r="D23" s="33">
        <v>102300</v>
      </c>
      <c r="E23" s="33">
        <v>0</v>
      </c>
      <c r="F23" s="547">
        <v>0</v>
      </c>
      <c r="G23" s="366"/>
    </row>
    <row r="24" spans="1:7" ht="29.4" customHeight="1" x14ac:dyDescent="0.3">
      <c r="A24" s="548" t="s">
        <v>355</v>
      </c>
      <c r="B24" s="367" t="s">
        <v>356</v>
      </c>
      <c r="C24" s="370">
        <f t="shared" si="0"/>
        <v>19638200</v>
      </c>
      <c r="D24" s="370">
        <f>D25+D26+D27</f>
        <v>19638200</v>
      </c>
      <c r="E24" s="365">
        <v>0</v>
      </c>
      <c r="F24" s="547">
        <v>0</v>
      </c>
      <c r="G24" s="366"/>
    </row>
    <row r="25" spans="1:7" ht="31.2" x14ac:dyDescent="0.3">
      <c r="A25" s="549" t="s">
        <v>357</v>
      </c>
      <c r="B25" s="369" t="s">
        <v>358</v>
      </c>
      <c r="C25" s="33">
        <f t="shared" si="0"/>
        <v>443200</v>
      </c>
      <c r="D25" s="33">
        <v>443200</v>
      </c>
      <c r="E25" s="33">
        <v>0</v>
      </c>
      <c r="F25" s="547">
        <v>0</v>
      </c>
      <c r="G25" s="366"/>
    </row>
    <row r="26" spans="1:7" ht="46.8" x14ac:dyDescent="0.3">
      <c r="A26" s="549" t="s">
        <v>359</v>
      </c>
      <c r="B26" s="369" t="s">
        <v>360</v>
      </c>
      <c r="C26" s="33">
        <f t="shared" si="0"/>
        <v>5118800</v>
      </c>
      <c r="D26" s="33">
        <v>5118800</v>
      </c>
      <c r="E26" s="33">
        <v>0</v>
      </c>
      <c r="F26" s="547">
        <v>0</v>
      </c>
      <c r="G26" s="366"/>
    </row>
    <row r="27" spans="1:7" ht="46.8" x14ac:dyDescent="0.3">
      <c r="A27" s="549" t="s">
        <v>361</v>
      </c>
      <c r="B27" s="369" t="s">
        <v>362</v>
      </c>
      <c r="C27" s="33">
        <f t="shared" si="0"/>
        <v>14076200</v>
      </c>
      <c r="D27" s="33">
        <v>14076200</v>
      </c>
      <c r="E27" s="33">
        <v>0</v>
      </c>
      <c r="F27" s="547">
        <v>0</v>
      </c>
      <c r="G27" s="366"/>
    </row>
    <row r="28" spans="1:7" ht="48.6" x14ac:dyDescent="0.3">
      <c r="A28" s="548" t="s">
        <v>363</v>
      </c>
      <c r="B28" s="367" t="s">
        <v>364</v>
      </c>
      <c r="C28" s="370">
        <f>D28</f>
        <v>159270700</v>
      </c>
      <c r="D28" s="370">
        <f>D29+D40+D41</f>
        <v>159270700</v>
      </c>
      <c r="E28" s="365">
        <v>0</v>
      </c>
      <c r="F28" s="547">
        <v>0</v>
      </c>
      <c r="G28" s="366"/>
    </row>
    <row r="29" spans="1:7" ht="15.6" x14ac:dyDescent="0.3">
      <c r="A29" s="549" t="s">
        <v>365</v>
      </c>
      <c r="B29" s="369" t="s">
        <v>366</v>
      </c>
      <c r="C29" s="33">
        <f>D29</f>
        <v>129563100</v>
      </c>
      <c r="D29" s="33">
        <f>D30+D35</f>
        <v>129563100</v>
      </c>
      <c r="E29" s="33">
        <v>0</v>
      </c>
      <c r="F29" s="547">
        <v>0</v>
      </c>
      <c r="G29" s="366"/>
    </row>
    <row r="30" spans="1:7" ht="35.25" customHeight="1" x14ac:dyDescent="0.3">
      <c r="A30" s="549"/>
      <c r="B30" s="369" t="s">
        <v>367</v>
      </c>
      <c r="C30" s="33">
        <f>D30+E30</f>
        <v>6666700</v>
      </c>
      <c r="D30" s="33">
        <f>D31+D32+D33+D34</f>
        <v>6666700</v>
      </c>
      <c r="E30" s="33"/>
      <c r="F30" s="547"/>
      <c r="G30" s="366"/>
    </row>
    <row r="31" spans="1:7" ht="67.5" customHeight="1" x14ac:dyDescent="0.3">
      <c r="A31" s="467">
        <v>18010100</v>
      </c>
      <c r="B31" s="369" t="s">
        <v>368</v>
      </c>
      <c r="C31" s="33">
        <f t="shared" ref="C31:C34" si="1">D31+E31</f>
        <v>17400</v>
      </c>
      <c r="D31" s="33">
        <v>17400</v>
      </c>
      <c r="E31" s="33"/>
      <c r="F31" s="547"/>
      <c r="G31" s="366"/>
    </row>
    <row r="32" spans="1:7" ht="62.4" x14ac:dyDescent="0.3">
      <c r="A32" s="467">
        <v>18010200</v>
      </c>
      <c r="B32" s="369" t="s">
        <v>369</v>
      </c>
      <c r="C32" s="33">
        <f t="shared" si="1"/>
        <v>522000</v>
      </c>
      <c r="D32" s="33">
        <v>522000</v>
      </c>
      <c r="E32" s="33"/>
      <c r="F32" s="547"/>
      <c r="G32" s="366"/>
    </row>
    <row r="33" spans="1:7" ht="62.4" x14ac:dyDescent="0.3">
      <c r="A33" s="467">
        <v>18010300</v>
      </c>
      <c r="B33" s="369" t="s">
        <v>370</v>
      </c>
      <c r="C33" s="33">
        <f t="shared" si="1"/>
        <v>1641500</v>
      </c>
      <c r="D33" s="33">
        <v>1641500</v>
      </c>
      <c r="E33" s="33"/>
      <c r="F33" s="547"/>
      <c r="G33" s="366"/>
    </row>
    <row r="34" spans="1:7" ht="72" customHeight="1" x14ac:dyDescent="0.3">
      <c r="A34" s="467">
        <v>18010400</v>
      </c>
      <c r="B34" s="369" t="s">
        <v>371</v>
      </c>
      <c r="C34" s="33">
        <f t="shared" si="1"/>
        <v>4485800</v>
      </c>
      <c r="D34" s="33">
        <v>4485800</v>
      </c>
      <c r="E34" s="33"/>
      <c r="F34" s="547"/>
      <c r="G34" s="366"/>
    </row>
    <row r="35" spans="1:7" ht="15.6" x14ac:dyDescent="0.3">
      <c r="A35" s="467"/>
      <c r="B35" s="369" t="s">
        <v>372</v>
      </c>
      <c r="C35" s="33">
        <f>D35+E35</f>
        <v>122896400</v>
      </c>
      <c r="D35" s="33">
        <f>D36+D37+D38+D39</f>
        <v>122896400</v>
      </c>
      <c r="E35" s="33"/>
      <c r="F35" s="547"/>
      <c r="G35" s="366"/>
    </row>
    <row r="36" spans="1:7" ht="15.6" x14ac:dyDescent="0.3">
      <c r="A36" s="467">
        <v>18010500</v>
      </c>
      <c r="B36" s="369" t="s">
        <v>373</v>
      </c>
      <c r="C36" s="33">
        <f t="shared" ref="C36:C39" si="2">D36+E36</f>
        <v>82596100</v>
      </c>
      <c r="D36" s="33">
        <v>82596100</v>
      </c>
      <c r="E36" s="33"/>
      <c r="F36" s="547"/>
      <c r="G36" s="366"/>
    </row>
    <row r="37" spans="1:7" ht="15.6" x14ac:dyDescent="0.3">
      <c r="A37" s="467">
        <v>18010600</v>
      </c>
      <c r="B37" s="369" t="s">
        <v>374</v>
      </c>
      <c r="C37" s="33">
        <f t="shared" si="2"/>
        <v>36876000</v>
      </c>
      <c r="D37" s="33">
        <v>36876000</v>
      </c>
      <c r="E37" s="33"/>
      <c r="F37" s="547"/>
      <c r="G37" s="366"/>
    </row>
    <row r="38" spans="1:7" ht="15.6" x14ac:dyDescent="0.3">
      <c r="A38" s="467">
        <v>18010700</v>
      </c>
      <c r="B38" s="369" t="s">
        <v>375</v>
      </c>
      <c r="C38" s="33">
        <f t="shared" si="2"/>
        <v>1289300</v>
      </c>
      <c r="D38" s="33">
        <v>1289300</v>
      </c>
      <c r="E38" s="33"/>
      <c r="F38" s="547"/>
      <c r="G38" s="366"/>
    </row>
    <row r="39" spans="1:7" ht="15.6" x14ac:dyDescent="0.3">
      <c r="A39" s="467">
        <v>18010900</v>
      </c>
      <c r="B39" s="369" t="s">
        <v>376</v>
      </c>
      <c r="C39" s="33">
        <f t="shared" si="2"/>
        <v>2135000</v>
      </c>
      <c r="D39" s="33">
        <v>2135000</v>
      </c>
      <c r="E39" s="33"/>
      <c r="F39" s="547"/>
      <c r="G39" s="366"/>
    </row>
    <row r="40" spans="1:7" ht="15.6" x14ac:dyDescent="0.3">
      <c r="A40" s="549" t="s">
        <v>377</v>
      </c>
      <c r="B40" s="369" t="s">
        <v>378</v>
      </c>
      <c r="C40" s="33">
        <f>D40</f>
        <v>105600</v>
      </c>
      <c r="D40" s="33">
        <v>105600</v>
      </c>
      <c r="E40" s="33">
        <v>0</v>
      </c>
      <c r="F40" s="547">
        <v>0</v>
      </c>
      <c r="G40" s="366"/>
    </row>
    <row r="41" spans="1:7" ht="15.6" x14ac:dyDescent="0.3">
      <c r="A41" s="549" t="s">
        <v>379</v>
      </c>
      <c r="B41" s="369" t="s">
        <v>380</v>
      </c>
      <c r="C41" s="33">
        <f>D41</f>
        <v>29602000</v>
      </c>
      <c r="D41" s="33">
        <v>29602000</v>
      </c>
      <c r="E41" s="33">
        <v>0</v>
      </c>
      <c r="F41" s="547">
        <v>0</v>
      </c>
      <c r="G41" s="366"/>
    </row>
    <row r="42" spans="1:7" ht="16.2" x14ac:dyDescent="0.3">
      <c r="A42" s="548" t="s">
        <v>381</v>
      </c>
      <c r="B42" s="367" t="s">
        <v>382</v>
      </c>
      <c r="C42" s="370">
        <f>E42</f>
        <v>359600</v>
      </c>
      <c r="D42" s="370">
        <v>0</v>
      </c>
      <c r="E42" s="370">
        <f>E43</f>
        <v>359600</v>
      </c>
      <c r="F42" s="547">
        <v>0</v>
      </c>
      <c r="G42" s="366"/>
    </row>
    <row r="43" spans="1:7" ht="15.6" x14ac:dyDescent="0.3">
      <c r="A43" s="549" t="s">
        <v>383</v>
      </c>
      <c r="B43" s="369" t="s">
        <v>384</v>
      </c>
      <c r="C43" s="33">
        <f>E43</f>
        <v>359600</v>
      </c>
      <c r="D43" s="33">
        <v>0</v>
      </c>
      <c r="E43" s="33">
        <v>359600</v>
      </c>
      <c r="F43" s="34">
        <v>0</v>
      </c>
      <c r="G43" s="366"/>
    </row>
    <row r="44" spans="1:7" ht="15.6" x14ac:dyDescent="0.3">
      <c r="A44" s="546" t="s">
        <v>385</v>
      </c>
      <c r="B44" s="363" t="s">
        <v>386</v>
      </c>
      <c r="C44" s="365">
        <f>D44+E44</f>
        <v>15714800</v>
      </c>
      <c r="D44" s="365">
        <f>D45+D49+D55</f>
        <v>4565900</v>
      </c>
      <c r="E44" s="365">
        <f>E55+E59</f>
        <v>11148900</v>
      </c>
      <c r="F44" s="547">
        <f>F55</f>
        <v>1187400</v>
      </c>
      <c r="G44" s="366"/>
    </row>
    <row r="45" spans="1:7" ht="32.4" x14ac:dyDescent="0.3">
      <c r="A45" s="548" t="s">
        <v>387</v>
      </c>
      <c r="B45" s="367" t="s">
        <v>388</v>
      </c>
      <c r="C45" s="370">
        <f t="shared" ref="C45:C54" si="3">D45</f>
        <v>983600</v>
      </c>
      <c r="D45" s="370">
        <f>D46+D47+D48</f>
        <v>983600</v>
      </c>
      <c r="E45" s="365">
        <v>0</v>
      </c>
      <c r="F45" s="547">
        <v>0</v>
      </c>
      <c r="G45" s="366"/>
    </row>
    <row r="46" spans="1:7" ht="62.4" x14ac:dyDescent="0.3">
      <c r="A46" s="549" t="s">
        <v>389</v>
      </c>
      <c r="B46" s="369" t="s">
        <v>390</v>
      </c>
      <c r="C46" s="33">
        <f t="shared" si="3"/>
        <v>24000</v>
      </c>
      <c r="D46" s="33">
        <v>24000</v>
      </c>
      <c r="E46" s="33">
        <v>0</v>
      </c>
      <c r="F46" s="34">
        <v>0</v>
      </c>
      <c r="G46" s="366"/>
    </row>
    <row r="47" spans="1:7" ht="15.6" x14ac:dyDescent="0.3">
      <c r="A47" s="549" t="s">
        <v>391</v>
      </c>
      <c r="B47" s="369" t="s">
        <v>392</v>
      </c>
      <c r="C47" s="33">
        <f t="shared" si="3"/>
        <v>75300</v>
      </c>
      <c r="D47" s="33">
        <v>75300</v>
      </c>
      <c r="E47" s="33">
        <v>0</v>
      </c>
      <c r="F47" s="34">
        <v>0</v>
      </c>
      <c r="G47" s="366"/>
    </row>
    <row r="48" spans="1:7" ht="15.6" x14ac:dyDescent="0.3">
      <c r="A48" s="549" t="s">
        <v>393</v>
      </c>
      <c r="B48" s="369" t="s">
        <v>394</v>
      </c>
      <c r="C48" s="33">
        <f t="shared" si="3"/>
        <v>884300</v>
      </c>
      <c r="D48" s="33">
        <v>884300</v>
      </c>
      <c r="E48" s="33">
        <v>0</v>
      </c>
      <c r="F48" s="34">
        <v>0</v>
      </c>
      <c r="G48" s="366"/>
    </row>
    <row r="49" spans="1:7" ht="46.2" customHeight="1" x14ac:dyDescent="0.3">
      <c r="A49" s="548" t="s">
        <v>395</v>
      </c>
      <c r="B49" s="367" t="s">
        <v>396</v>
      </c>
      <c r="C49" s="370">
        <f t="shared" si="3"/>
        <v>2907700</v>
      </c>
      <c r="D49" s="370">
        <f>D50+D51+D52+D53+D54</f>
        <v>2907700</v>
      </c>
      <c r="E49" s="365">
        <v>0</v>
      </c>
      <c r="F49" s="547">
        <v>0</v>
      </c>
      <c r="G49" s="366"/>
    </row>
    <row r="50" spans="1:7" ht="62.4" x14ac:dyDescent="0.3">
      <c r="A50" s="549" t="s">
        <v>397</v>
      </c>
      <c r="B50" s="369" t="s">
        <v>398</v>
      </c>
      <c r="C50" s="33">
        <f t="shared" si="3"/>
        <v>104500</v>
      </c>
      <c r="D50" s="33">
        <v>104500</v>
      </c>
      <c r="E50" s="33">
        <v>0</v>
      </c>
      <c r="F50" s="34">
        <v>0</v>
      </c>
      <c r="G50" s="366"/>
    </row>
    <row r="51" spans="1:7" ht="31.2" x14ac:dyDescent="0.3">
      <c r="A51" s="549" t="s">
        <v>399</v>
      </c>
      <c r="B51" s="369" t="s">
        <v>400</v>
      </c>
      <c r="C51" s="33">
        <f t="shared" si="3"/>
        <v>1515700</v>
      </c>
      <c r="D51" s="33">
        <v>1515700</v>
      </c>
      <c r="E51" s="33">
        <v>0</v>
      </c>
      <c r="F51" s="34">
        <v>0</v>
      </c>
      <c r="G51" s="366"/>
    </row>
    <row r="52" spans="1:7" ht="46.8" x14ac:dyDescent="0.3">
      <c r="A52" s="549" t="s">
        <v>401</v>
      </c>
      <c r="B52" s="369" t="s">
        <v>402</v>
      </c>
      <c r="C52" s="33">
        <f t="shared" si="3"/>
        <v>485100</v>
      </c>
      <c r="D52" s="33">
        <v>485100</v>
      </c>
      <c r="E52" s="33">
        <v>0</v>
      </c>
      <c r="F52" s="34">
        <v>0</v>
      </c>
      <c r="G52" s="366"/>
    </row>
    <row r="53" spans="1:7" ht="46.8" x14ac:dyDescent="0.3">
      <c r="A53" s="549" t="s">
        <v>403</v>
      </c>
      <c r="B53" s="369" t="s">
        <v>404</v>
      </c>
      <c r="C53" s="33">
        <f t="shared" si="3"/>
        <v>653000</v>
      </c>
      <c r="D53" s="33">
        <v>653000</v>
      </c>
      <c r="E53" s="33">
        <v>0</v>
      </c>
      <c r="F53" s="34">
        <v>0</v>
      </c>
      <c r="G53" s="366"/>
    </row>
    <row r="54" spans="1:7" ht="15.6" x14ac:dyDescent="0.3">
      <c r="A54" s="549" t="s">
        <v>405</v>
      </c>
      <c r="B54" s="369" t="s">
        <v>406</v>
      </c>
      <c r="C54" s="33">
        <f t="shared" si="3"/>
        <v>149400</v>
      </c>
      <c r="D54" s="33">
        <v>149400</v>
      </c>
      <c r="E54" s="365">
        <v>0</v>
      </c>
      <c r="F54" s="547">
        <v>0</v>
      </c>
      <c r="G54" s="366"/>
    </row>
    <row r="55" spans="1:7" ht="16.2" x14ac:dyDescent="0.3">
      <c r="A55" s="548" t="s">
        <v>407</v>
      </c>
      <c r="B55" s="367" t="s">
        <v>408</v>
      </c>
      <c r="C55" s="370">
        <f>D55+E55</f>
        <v>1862000</v>
      </c>
      <c r="D55" s="370">
        <f>D56+D57</f>
        <v>674600</v>
      </c>
      <c r="E55" s="370">
        <f>E58</f>
        <v>1187400</v>
      </c>
      <c r="F55" s="550">
        <f>F58</f>
        <v>1187400</v>
      </c>
      <c r="G55" s="366"/>
    </row>
    <row r="56" spans="1:7" ht="15.6" x14ac:dyDescent="0.3">
      <c r="A56" s="549" t="s">
        <v>409</v>
      </c>
      <c r="B56" s="369" t="s">
        <v>410</v>
      </c>
      <c r="C56" s="33">
        <f>D56</f>
        <v>150000</v>
      </c>
      <c r="D56" s="33">
        <v>150000</v>
      </c>
      <c r="E56" s="33">
        <v>0</v>
      </c>
      <c r="F56" s="34">
        <v>0</v>
      </c>
      <c r="G56" s="366"/>
    </row>
    <row r="57" spans="1:7" ht="93.6" x14ac:dyDescent="0.3">
      <c r="A57" s="549" t="s">
        <v>411</v>
      </c>
      <c r="B57" s="369" t="s">
        <v>412</v>
      </c>
      <c r="C57" s="33">
        <f>D57</f>
        <v>524600</v>
      </c>
      <c r="D57" s="33">
        <v>524600</v>
      </c>
      <c r="E57" s="33">
        <v>0</v>
      </c>
      <c r="F57" s="34">
        <v>0</v>
      </c>
      <c r="G57" s="366"/>
    </row>
    <row r="58" spans="1:7" ht="31.2" x14ac:dyDescent="0.3">
      <c r="A58" s="549" t="s">
        <v>413</v>
      </c>
      <c r="B58" s="369" t="s">
        <v>414</v>
      </c>
      <c r="C58" s="33">
        <f>E58</f>
        <v>1187400</v>
      </c>
      <c r="D58" s="33">
        <v>0</v>
      </c>
      <c r="E58" s="33">
        <v>1187400</v>
      </c>
      <c r="F58" s="34">
        <f>E58</f>
        <v>1187400</v>
      </c>
      <c r="G58" s="366"/>
    </row>
    <row r="59" spans="1:7" ht="28.95" customHeight="1" x14ac:dyDescent="0.3">
      <c r="A59" s="548" t="s">
        <v>415</v>
      </c>
      <c r="B59" s="367" t="s">
        <v>416</v>
      </c>
      <c r="C59" s="370">
        <f>E59</f>
        <v>9961500</v>
      </c>
      <c r="D59" s="370">
        <v>0</v>
      </c>
      <c r="E59" s="370">
        <f>E60</f>
        <v>9961500</v>
      </c>
      <c r="F59" s="550">
        <v>0</v>
      </c>
      <c r="G59" s="366"/>
    </row>
    <row r="60" spans="1:7" ht="46.8" x14ac:dyDescent="0.3">
      <c r="A60" s="549" t="s">
        <v>417</v>
      </c>
      <c r="B60" s="369" t="s">
        <v>418</v>
      </c>
      <c r="C60" s="33">
        <f>E60</f>
        <v>9961500</v>
      </c>
      <c r="D60" s="33">
        <v>0</v>
      </c>
      <c r="E60" s="33">
        <v>9961500</v>
      </c>
      <c r="F60" s="547">
        <v>0</v>
      </c>
      <c r="G60" s="366"/>
    </row>
    <row r="61" spans="1:7" ht="16.2" x14ac:dyDescent="0.3">
      <c r="A61" s="548" t="s">
        <v>419</v>
      </c>
      <c r="B61" s="367" t="s">
        <v>420</v>
      </c>
      <c r="C61" s="370">
        <f>C62</f>
        <v>5284526</v>
      </c>
      <c r="D61" s="370">
        <v>0</v>
      </c>
      <c r="E61" s="370">
        <f>E62</f>
        <v>5284526</v>
      </c>
      <c r="F61" s="550">
        <f>F62</f>
        <v>5284526</v>
      </c>
      <c r="G61" s="366"/>
    </row>
    <row r="62" spans="1:7" ht="93.6" x14ac:dyDescent="0.3">
      <c r="A62" s="549" t="s">
        <v>421</v>
      </c>
      <c r="B62" s="369" t="s">
        <v>422</v>
      </c>
      <c r="C62" s="33">
        <f>E62</f>
        <v>5284526</v>
      </c>
      <c r="D62" s="33">
        <v>0</v>
      </c>
      <c r="E62" s="8">
        <f>3787000+1497526</f>
        <v>5284526</v>
      </c>
      <c r="F62" s="34">
        <f>E62</f>
        <v>5284526</v>
      </c>
      <c r="G62" s="366"/>
    </row>
    <row r="63" spans="1:7" ht="31.2" x14ac:dyDescent="0.3">
      <c r="A63" s="546"/>
      <c r="B63" s="363" t="s">
        <v>423</v>
      </c>
      <c r="C63" s="365">
        <f>D63+E63</f>
        <v>439954326</v>
      </c>
      <c r="D63" s="365">
        <f>D20+D44</f>
        <v>423161300</v>
      </c>
      <c r="E63" s="365">
        <f>E61+E44+E20</f>
        <v>16793026</v>
      </c>
      <c r="F63" s="547">
        <f>F61+F44+F20</f>
        <v>6471926</v>
      </c>
      <c r="G63" s="366"/>
    </row>
    <row r="64" spans="1:7" ht="21" customHeight="1" x14ac:dyDescent="0.3">
      <c r="A64" s="551" t="s">
        <v>424</v>
      </c>
      <c r="B64" s="363" t="s">
        <v>425</v>
      </c>
      <c r="C64" s="365">
        <f>D64+E64</f>
        <v>142797443</v>
      </c>
      <c r="D64" s="365">
        <f>D65</f>
        <v>142100663</v>
      </c>
      <c r="E64" s="365">
        <f t="shared" ref="E64:F64" si="4">E65</f>
        <v>696780</v>
      </c>
      <c r="F64" s="547">
        <f t="shared" si="4"/>
        <v>0</v>
      </c>
      <c r="G64" s="366"/>
    </row>
    <row r="65" spans="1:7" ht="19.5" customHeight="1" x14ac:dyDescent="0.3">
      <c r="A65" s="552" t="s">
        <v>426</v>
      </c>
      <c r="B65" s="367" t="s">
        <v>427</v>
      </c>
      <c r="C65" s="370">
        <f>D65+E65</f>
        <v>142797443</v>
      </c>
      <c r="D65" s="370">
        <f>D66+D68+D72+D70</f>
        <v>142100663</v>
      </c>
      <c r="E65" s="370">
        <f t="shared" ref="E65:F65" si="5">E66+E68+E72</f>
        <v>696780</v>
      </c>
      <c r="F65" s="550">
        <f t="shared" si="5"/>
        <v>0</v>
      </c>
      <c r="G65" s="366"/>
    </row>
    <row r="66" spans="1:7" ht="29.25" customHeight="1" x14ac:dyDescent="0.3">
      <c r="A66" s="551">
        <v>41020000</v>
      </c>
      <c r="B66" s="363" t="s">
        <v>428</v>
      </c>
      <c r="C66" s="365">
        <f t="shared" ref="C66:C81" si="6">D66</f>
        <v>64371200</v>
      </c>
      <c r="D66" s="365">
        <f>D67</f>
        <v>64371200</v>
      </c>
      <c r="E66" s="365"/>
      <c r="F66" s="547"/>
      <c r="G66" s="366"/>
    </row>
    <row r="67" spans="1:7" ht="146.25" customHeight="1" x14ac:dyDescent="0.3">
      <c r="A67" s="467">
        <v>41021400</v>
      </c>
      <c r="B67" s="369" t="s">
        <v>429</v>
      </c>
      <c r="C67" s="33">
        <f t="shared" si="6"/>
        <v>64371200</v>
      </c>
      <c r="D67" s="33">
        <f>53910900+10460300</f>
        <v>64371200</v>
      </c>
      <c r="E67" s="33"/>
      <c r="F67" s="34"/>
      <c r="G67" s="366"/>
    </row>
    <row r="68" spans="1:7" ht="36" customHeight="1" x14ac:dyDescent="0.3">
      <c r="A68" s="551" t="s">
        <v>430</v>
      </c>
      <c r="B68" s="363" t="s">
        <v>431</v>
      </c>
      <c r="C68" s="365">
        <f>D68</f>
        <v>75510600</v>
      </c>
      <c r="D68" s="365">
        <f>D69</f>
        <v>75510600</v>
      </c>
      <c r="E68" s="365">
        <v>0</v>
      </c>
      <c r="F68" s="547">
        <v>0</v>
      </c>
      <c r="G68" s="366"/>
    </row>
    <row r="69" spans="1:7" ht="31.2" x14ac:dyDescent="0.3">
      <c r="A69" s="467" t="s">
        <v>432</v>
      </c>
      <c r="B69" s="369" t="s">
        <v>433</v>
      </c>
      <c r="C69" s="33">
        <f>D69</f>
        <v>75510600</v>
      </c>
      <c r="D69" s="33">
        <v>75510600</v>
      </c>
      <c r="E69" s="33">
        <v>0</v>
      </c>
      <c r="F69" s="34">
        <v>0</v>
      </c>
      <c r="G69" s="366"/>
    </row>
    <row r="70" spans="1:7" ht="31.2" x14ac:dyDescent="0.3">
      <c r="A70" s="551">
        <v>41040000</v>
      </c>
      <c r="B70" s="363" t="s">
        <v>608</v>
      </c>
      <c r="C70" s="365">
        <f>C71</f>
        <v>38667</v>
      </c>
      <c r="D70" s="365">
        <f>D71</f>
        <v>38667</v>
      </c>
      <c r="E70" s="33"/>
      <c r="F70" s="34"/>
      <c r="G70" s="366"/>
    </row>
    <row r="71" spans="1:7" ht="15.6" x14ac:dyDescent="0.3">
      <c r="A71" s="467">
        <v>41040400</v>
      </c>
      <c r="B71" s="369" t="s">
        <v>609</v>
      </c>
      <c r="C71" s="33">
        <f>D71+E71</f>
        <v>38667</v>
      </c>
      <c r="D71" s="33">
        <v>38667</v>
      </c>
      <c r="E71" s="33"/>
      <c r="F71" s="34"/>
      <c r="G71" s="366"/>
    </row>
    <row r="72" spans="1:7" ht="31.2" x14ac:dyDescent="0.3">
      <c r="A72" s="551">
        <v>41050000</v>
      </c>
      <c r="B72" s="363" t="s">
        <v>489</v>
      </c>
      <c r="C72" s="365">
        <f>C73+C74+C77+C78+C79+C75+C76</f>
        <v>2876976</v>
      </c>
      <c r="D72" s="365">
        <f>D73+D74+D77+D78+D79+D75+D76</f>
        <v>2180196</v>
      </c>
      <c r="E72" s="365">
        <f t="shared" ref="E72:F72" si="7">E73+E74+E77+E78+E79</f>
        <v>696780</v>
      </c>
      <c r="F72" s="553">
        <f t="shared" si="7"/>
        <v>0</v>
      </c>
      <c r="G72" s="366"/>
    </row>
    <row r="73" spans="1:7" ht="46.8" x14ac:dyDescent="0.3">
      <c r="A73" s="467" t="s">
        <v>434</v>
      </c>
      <c r="B73" s="369" t="s">
        <v>435</v>
      </c>
      <c r="C73" s="33">
        <f>D73</f>
        <v>1766200</v>
      </c>
      <c r="D73" s="33">
        <v>1766200</v>
      </c>
      <c r="E73" s="33"/>
      <c r="F73" s="34"/>
      <c r="G73" s="366"/>
    </row>
    <row r="74" spans="1:7" ht="46.8" x14ac:dyDescent="0.3">
      <c r="A74" s="467">
        <v>41051100</v>
      </c>
      <c r="B74" s="369" t="s">
        <v>488</v>
      </c>
      <c r="C74" s="466">
        <f>D74+E74</f>
        <v>696780</v>
      </c>
      <c r="D74" s="33"/>
      <c r="E74" s="33">
        <v>696780</v>
      </c>
      <c r="F74" s="34"/>
      <c r="G74" s="366"/>
    </row>
    <row r="75" spans="1:7" ht="77.400000000000006" customHeight="1" x14ac:dyDescent="0.3">
      <c r="A75" s="467">
        <v>41051700</v>
      </c>
      <c r="B75" s="369" t="s">
        <v>606</v>
      </c>
      <c r="C75" s="466">
        <f>D75+E75</f>
        <v>110550</v>
      </c>
      <c r="D75" s="33">
        <v>110550</v>
      </c>
      <c r="E75" s="33"/>
      <c r="F75" s="34"/>
      <c r="G75" s="366"/>
    </row>
    <row r="76" spans="1:7" ht="77.400000000000006" customHeight="1" x14ac:dyDescent="0.3">
      <c r="A76" s="467">
        <v>41057700</v>
      </c>
      <c r="B76" s="369" t="s">
        <v>607</v>
      </c>
      <c r="C76" s="466">
        <f>D76+E76</f>
        <v>166311</v>
      </c>
      <c r="D76" s="33">
        <v>166311</v>
      </c>
      <c r="E76" s="33"/>
      <c r="F76" s="34"/>
      <c r="G76" s="366"/>
    </row>
    <row r="77" spans="1:7" ht="62.4" x14ac:dyDescent="0.3">
      <c r="A77" s="468">
        <v>41053900</v>
      </c>
      <c r="B77" s="81" t="s">
        <v>436</v>
      </c>
      <c r="C77" s="33">
        <f t="shared" si="6"/>
        <v>28193</v>
      </c>
      <c r="D77" s="33">
        <v>28193</v>
      </c>
      <c r="E77" s="33"/>
      <c r="F77" s="34"/>
      <c r="G77" s="366"/>
    </row>
    <row r="78" spans="1:7" ht="46.8" x14ac:dyDescent="0.3">
      <c r="A78" s="469">
        <v>41053900</v>
      </c>
      <c r="B78" s="81" t="s">
        <v>437</v>
      </c>
      <c r="C78" s="33">
        <f t="shared" si="6"/>
        <v>91319</v>
      </c>
      <c r="D78" s="33">
        <v>91319</v>
      </c>
      <c r="E78" s="33"/>
      <c r="F78" s="34"/>
      <c r="G78" s="366"/>
    </row>
    <row r="79" spans="1:7" ht="78" x14ac:dyDescent="0.3">
      <c r="A79" s="469">
        <v>41053900</v>
      </c>
      <c r="B79" s="81" t="s">
        <v>438</v>
      </c>
      <c r="C79" s="33">
        <f t="shared" si="6"/>
        <v>17623</v>
      </c>
      <c r="D79" s="33">
        <v>17623</v>
      </c>
      <c r="E79" s="33"/>
      <c r="F79" s="34"/>
      <c r="G79" s="366"/>
    </row>
    <row r="80" spans="1:7" ht="0.75" customHeight="1" x14ac:dyDescent="0.3">
      <c r="A80" s="554"/>
      <c r="B80" s="81"/>
      <c r="C80" s="33"/>
      <c r="D80" s="33"/>
      <c r="E80" s="33"/>
      <c r="F80" s="34"/>
      <c r="G80" s="366"/>
    </row>
    <row r="81" spans="1:7" ht="15.6" x14ac:dyDescent="0.3">
      <c r="A81" s="549"/>
      <c r="B81" s="369"/>
      <c r="C81" s="33">
        <f t="shared" si="6"/>
        <v>0</v>
      </c>
      <c r="D81" s="33"/>
      <c r="E81" s="33"/>
      <c r="F81" s="34"/>
      <c r="G81" s="366"/>
    </row>
    <row r="82" spans="1:7" ht="16.2" thickBot="1" x14ac:dyDescent="0.35">
      <c r="A82" s="555" t="s">
        <v>6</v>
      </c>
      <c r="B82" s="556" t="s">
        <v>439</v>
      </c>
      <c r="C82" s="557">
        <f>D82+E82</f>
        <v>582751769</v>
      </c>
      <c r="D82" s="557">
        <f>D63+D64</f>
        <v>565261963</v>
      </c>
      <c r="E82" s="557">
        <f>E63+E64</f>
        <v>17489806</v>
      </c>
      <c r="F82" s="558">
        <f>F63</f>
        <v>6471926</v>
      </c>
      <c r="G82" s="366"/>
    </row>
    <row r="83" spans="1:7" ht="15.6" x14ac:dyDescent="0.3">
      <c r="A83" s="1"/>
      <c r="B83" s="1"/>
      <c r="C83" s="1"/>
      <c r="D83" s="1"/>
      <c r="E83" s="1"/>
      <c r="F83" s="1"/>
    </row>
    <row r="84" spans="1:7" x14ac:dyDescent="0.3">
      <c r="A84" s="709"/>
      <c r="B84" s="709"/>
      <c r="C84" s="709"/>
      <c r="D84" s="709"/>
      <c r="E84" s="709"/>
      <c r="F84" s="709"/>
    </row>
    <row r="86" spans="1:7" ht="17.399999999999999" x14ac:dyDescent="0.3">
      <c r="A86" s="72" t="s">
        <v>440</v>
      </c>
      <c r="B86" s="72"/>
      <c r="C86" s="371"/>
      <c r="D86" s="354"/>
      <c r="E86" s="710" t="s">
        <v>539</v>
      </c>
      <c r="F86" s="710"/>
    </row>
  </sheetData>
  <mergeCells count="27">
    <mergeCell ref="D4:E4"/>
    <mergeCell ref="D5:E5"/>
    <mergeCell ref="D10:F10"/>
    <mergeCell ref="G10:I10"/>
    <mergeCell ref="D6:F6"/>
    <mergeCell ref="G6:I6"/>
    <mergeCell ref="D7:F7"/>
    <mergeCell ref="D8:F8"/>
    <mergeCell ref="D9:F9"/>
    <mergeCell ref="D11:F11"/>
    <mergeCell ref="G11:I11"/>
    <mergeCell ref="D12:F12"/>
    <mergeCell ref="G12:I12"/>
    <mergeCell ref="A13:F13"/>
    <mergeCell ref="G13:I13"/>
    <mergeCell ref="A84:F84"/>
    <mergeCell ref="E86:F86"/>
    <mergeCell ref="A14:B14"/>
    <mergeCell ref="G14:I14"/>
    <mergeCell ref="G15:I15"/>
    <mergeCell ref="A16:A18"/>
    <mergeCell ref="B16:B18"/>
    <mergeCell ref="C16:C18"/>
    <mergeCell ref="D16:D18"/>
    <mergeCell ref="E16:F16"/>
    <mergeCell ref="E17:E18"/>
    <mergeCell ref="F17:F18"/>
  </mergeCells>
  <pageMargins left="1.1811023622047245" right="0.39370078740157483" top="0.78740157480314965" bottom="0.78740157480314965" header="0.31496062992125984" footer="0.31496062992125984"/>
  <pageSetup paperSize="9" scale="75"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topLeftCell="A31" zoomScaleNormal="100" zoomScaleSheetLayoutView="100" workbookViewId="0">
      <selection activeCell="D27" sqref="D27"/>
    </sheetView>
  </sheetViews>
  <sheetFormatPr defaultRowHeight="13.8" x14ac:dyDescent="0.3"/>
  <cols>
    <col min="1" max="1" width="11.33203125" customWidth="1"/>
    <col min="2" max="2" width="41" customWidth="1"/>
    <col min="3" max="4" width="13.88671875" customWidth="1"/>
    <col min="5" max="5" width="13.5546875" customWidth="1"/>
    <col min="6" max="6" width="16.33203125" customWidth="1"/>
  </cols>
  <sheetData>
    <row r="1" spans="1:6" ht="15.6" x14ac:dyDescent="0.3">
      <c r="D1" s="177" t="s">
        <v>167</v>
      </c>
      <c r="E1" s="4"/>
    </row>
    <row r="2" spans="1:6" ht="15.6" x14ac:dyDescent="0.3">
      <c r="D2" s="177" t="s">
        <v>631</v>
      </c>
      <c r="E2" s="4"/>
    </row>
    <row r="3" spans="1:6" ht="15.6" x14ac:dyDescent="0.3">
      <c r="D3" s="178" t="s">
        <v>634</v>
      </c>
      <c r="E3" s="7"/>
    </row>
    <row r="4" spans="1:6" ht="15.6" x14ac:dyDescent="0.3">
      <c r="D4" s="179" t="s">
        <v>633</v>
      </c>
      <c r="E4" s="180"/>
    </row>
    <row r="5" spans="1:6" ht="15.6" x14ac:dyDescent="0.3">
      <c r="D5" s="724" t="s">
        <v>554</v>
      </c>
      <c r="E5" s="724"/>
    </row>
    <row r="7" spans="1:6" ht="15.6" x14ac:dyDescent="0.3">
      <c r="D7" s="3" t="s">
        <v>541</v>
      </c>
      <c r="E7" s="4"/>
      <c r="F7" s="5"/>
    </row>
    <row r="8" spans="1:6" ht="15.6" x14ac:dyDescent="0.3">
      <c r="D8" s="3" t="s">
        <v>294</v>
      </c>
      <c r="E8" s="4"/>
      <c r="F8" s="5"/>
    </row>
    <row r="9" spans="1:6" ht="15.6" x14ac:dyDescent="0.3">
      <c r="D9" s="3" t="s">
        <v>8</v>
      </c>
      <c r="E9" s="4"/>
      <c r="F9" s="5"/>
    </row>
    <row r="10" spans="1:6" ht="15.6" x14ac:dyDescent="0.3">
      <c r="D10" s="3" t="s">
        <v>296</v>
      </c>
      <c r="E10" s="4"/>
      <c r="F10" s="5"/>
    </row>
    <row r="11" spans="1:6" ht="15.6" x14ac:dyDescent="0.3">
      <c r="D11" s="6" t="s">
        <v>537</v>
      </c>
      <c r="E11" s="7"/>
      <c r="F11" s="5"/>
    </row>
    <row r="12" spans="1:6" ht="15.6" x14ac:dyDescent="0.3">
      <c r="D12" s="6" t="s">
        <v>441</v>
      </c>
      <c r="E12" s="4"/>
      <c r="F12" s="5"/>
    </row>
    <row r="13" spans="1:6" ht="15.6" x14ac:dyDescent="0.3">
      <c r="D13" s="720" t="s">
        <v>538</v>
      </c>
      <c r="E13" s="720"/>
      <c r="F13" s="5"/>
    </row>
    <row r="15" spans="1:6" ht="21" x14ac:dyDescent="0.4">
      <c r="A15" s="736" t="s">
        <v>442</v>
      </c>
      <c r="B15" s="737"/>
      <c r="C15" s="737"/>
      <c r="D15" s="737"/>
      <c r="E15" s="737"/>
      <c r="F15" s="737"/>
    </row>
    <row r="16" spans="1:6" ht="21" x14ac:dyDescent="0.4">
      <c r="A16" s="352"/>
      <c r="B16" s="353"/>
      <c r="C16" s="353"/>
      <c r="D16" s="353"/>
      <c r="E16" s="353"/>
      <c r="F16" s="353"/>
    </row>
    <row r="17" spans="1:6" ht="15.6" x14ac:dyDescent="0.3">
      <c r="A17" s="372" t="s">
        <v>166</v>
      </c>
      <c r="B17" s="1"/>
      <c r="C17" s="1"/>
      <c r="D17" s="1"/>
      <c r="E17" s="1"/>
      <c r="F17" s="1"/>
    </row>
    <row r="18" spans="1:6" ht="16.2" thickBot="1" x14ac:dyDescent="0.35">
      <c r="A18" s="373" t="s">
        <v>0</v>
      </c>
      <c r="B18" s="1"/>
      <c r="C18" s="1"/>
      <c r="D18" s="1"/>
      <c r="E18" s="1"/>
      <c r="F18" s="2" t="s">
        <v>297</v>
      </c>
    </row>
    <row r="19" spans="1:6" ht="15.6" x14ac:dyDescent="0.3">
      <c r="A19" s="738" t="s">
        <v>345</v>
      </c>
      <c r="B19" s="741" t="s">
        <v>443</v>
      </c>
      <c r="C19" s="741" t="s">
        <v>1</v>
      </c>
      <c r="D19" s="741" t="s">
        <v>2</v>
      </c>
      <c r="E19" s="741" t="s">
        <v>3</v>
      </c>
      <c r="F19" s="744"/>
    </row>
    <row r="20" spans="1:6" x14ac:dyDescent="0.3">
      <c r="A20" s="739"/>
      <c r="B20" s="742"/>
      <c r="C20" s="742"/>
      <c r="D20" s="742"/>
      <c r="E20" s="742" t="s">
        <v>4</v>
      </c>
      <c r="F20" s="745" t="s">
        <v>5</v>
      </c>
    </row>
    <row r="21" spans="1:6" ht="44.4" customHeight="1" thickBot="1" x14ac:dyDescent="0.35">
      <c r="A21" s="740"/>
      <c r="B21" s="743"/>
      <c r="C21" s="743"/>
      <c r="D21" s="743"/>
      <c r="E21" s="743"/>
      <c r="F21" s="746"/>
    </row>
    <row r="22" spans="1:6" ht="15.6" x14ac:dyDescent="0.3">
      <c r="A22" s="64">
        <v>1</v>
      </c>
      <c r="B22" s="65">
        <v>2</v>
      </c>
      <c r="C22" s="65">
        <v>3</v>
      </c>
      <c r="D22" s="65">
        <v>4</v>
      </c>
      <c r="E22" s="65">
        <v>5</v>
      </c>
      <c r="F22" s="374">
        <v>6</v>
      </c>
    </row>
    <row r="23" spans="1:6" ht="21.6" customHeight="1" x14ac:dyDescent="0.3">
      <c r="A23" s="727" t="s">
        <v>444</v>
      </c>
      <c r="B23" s="728"/>
      <c r="C23" s="728"/>
      <c r="D23" s="728"/>
      <c r="E23" s="728"/>
      <c r="F23" s="729"/>
    </row>
    <row r="24" spans="1:6" ht="22.95" customHeight="1" x14ac:dyDescent="0.3">
      <c r="A24" s="375" t="s">
        <v>445</v>
      </c>
      <c r="B24" s="376" t="s">
        <v>446</v>
      </c>
      <c r="C24" s="364">
        <f>C25</f>
        <v>61471928</v>
      </c>
      <c r="D24" s="364">
        <f>D25</f>
        <v>-15613428</v>
      </c>
      <c r="E24" s="364">
        <f>E25</f>
        <v>77085356</v>
      </c>
      <c r="F24" s="377">
        <f>F25</f>
        <v>77085356</v>
      </c>
    </row>
    <row r="25" spans="1:6" ht="31.2" x14ac:dyDescent="0.3">
      <c r="A25" s="378" t="s">
        <v>447</v>
      </c>
      <c r="B25" s="379" t="s">
        <v>448</v>
      </c>
      <c r="C25" s="8">
        <f>C26-C27+C28</f>
        <v>61471928</v>
      </c>
      <c r="D25" s="8">
        <f>D26-D27+D28</f>
        <v>-15613428</v>
      </c>
      <c r="E25" s="8">
        <f>E28</f>
        <v>77085356</v>
      </c>
      <c r="F25" s="380">
        <f>F28</f>
        <v>77085356</v>
      </c>
    </row>
    <row r="26" spans="1:6" ht="15.6" x14ac:dyDescent="0.3">
      <c r="A26" s="378" t="s">
        <v>449</v>
      </c>
      <c r="B26" s="379" t="s">
        <v>450</v>
      </c>
      <c r="C26" s="8">
        <f>D26</f>
        <v>66471928</v>
      </c>
      <c r="D26" s="8">
        <f>1000000+25340511+40131417</f>
        <v>66471928</v>
      </c>
      <c r="E26" s="8">
        <v>0</v>
      </c>
      <c r="F26" s="381">
        <v>0</v>
      </c>
    </row>
    <row r="27" spans="1:6" ht="15.6" x14ac:dyDescent="0.3">
      <c r="A27" s="378" t="s">
        <v>451</v>
      </c>
      <c r="B27" s="379" t="s">
        <v>452</v>
      </c>
      <c r="C27" s="8">
        <f>D27</f>
        <v>5000000</v>
      </c>
      <c r="D27" s="8">
        <f>1000000+4000000</f>
        <v>5000000</v>
      </c>
      <c r="E27" s="8">
        <v>0</v>
      </c>
      <c r="F27" s="381">
        <v>0</v>
      </c>
    </row>
    <row r="28" spans="1:6" ht="46.8" x14ac:dyDescent="0.3">
      <c r="A28" s="378" t="s">
        <v>453</v>
      </c>
      <c r="B28" s="379" t="s">
        <v>454</v>
      </c>
      <c r="C28" s="8">
        <v>0</v>
      </c>
      <c r="D28" s="8">
        <f>-883500-26657365-49544491</f>
        <v>-77085356</v>
      </c>
      <c r="E28" s="8">
        <f>883500+26657365+49544491</f>
        <v>77085356</v>
      </c>
      <c r="F28" s="381">
        <f>E28</f>
        <v>77085356</v>
      </c>
    </row>
    <row r="29" spans="1:6" ht="16.2" x14ac:dyDescent="0.35">
      <c r="A29" s="382" t="s">
        <v>6</v>
      </c>
      <c r="B29" s="383" t="s">
        <v>455</v>
      </c>
      <c r="C29" s="384">
        <f>C24</f>
        <v>61471928</v>
      </c>
      <c r="D29" s="384">
        <f>D24</f>
        <v>-15613428</v>
      </c>
      <c r="E29" s="384">
        <f>E24</f>
        <v>77085356</v>
      </c>
      <c r="F29" s="385">
        <f>F24</f>
        <v>77085356</v>
      </c>
    </row>
    <row r="30" spans="1:6" ht="22.95" customHeight="1" x14ac:dyDescent="0.3">
      <c r="A30" s="730" t="s">
        <v>456</v>
      </c>
      <c r="B30" s="731"/>
      <c r="C30" s="731"/>
      <c r="D30" s="731"/>
      <c r="E30" s="731"/>
      <c r="F30" s="732"/>
    </row>
    <row r="31" spans="1:6" ht="31.2" x14ac:dyDescent="0.3">
      <c r="A31" s="375" t="s">
        <v>457</v>
      </c>
      <c r="B31" s="376" t="s">
        <v>458</v>
      </c>
      <c r="C31" s="364">
        <f>C24</f>
        <v>61471928</v>
      </c>
      <c r="D31" s="364">
        <f>D24</f>
        <v>-15613428</v>
      </c>
      <c r="E31" s="364">
        <f>E24</f>
        <v>77085356</v>
      </c>
      <c r="F31" s="386">
        <f>F24</f>
        <v>77085356</v>
      </c>
    </row>
    <row r="32" spans="1:6" ht="15.6" x14ac:dyDescent="0.3">
      <c r="A32" s="378" t="s">
        <v>459</v>
      </c>
      <c r="B32" s="379" t="s">
        <v>460</v>
      </c>
      <c r="C32" s="8">
        <f>C25</f>
        <v>61471928</v>
      </c>
      <c r="D32" s="8">
        <f>D25</f>
        <v>-15613428</v>
      </c>
      <c r="E32" s="8">
        <f>E35</f>
        <v>77085356</v>
      </c>
      <c r="F32" s="381">
        <f>F35</f>
        <v>77085356</v>
      </c>
    </row>
    <row r="33" spans="1:16" ht="15.6" x14ac:dyDescent="0.3">
      <c r="A33" s="378" t="s">
        <v>461</v>
      </c>
      <c r="B33" s="379" t="s">
        <v>450</v>
      </c>
      <c r="C33" s="8">
        <f>D33</f>
        <v>66471928</v>
      </c>
      <c r="D33" s="8">
        <f>D26</f>
        <v>66471928</v>
      </c>
      <c r="E33" s="8">
        <v>0</v>
      </c>
      <c r="F33" s="381">
        <v>0</v>
      </c>
      <c r="I33" s="387"/>
    </row>
    <row r="34" spans="1:16" ht="15.6" x14ac:dyDescent="0.3">
      <c r="A34" s="378" t="s">
        <v>462</v>
      </c>
      <c r="B34" s="379" t="s">
        <v>452</v>
      </c>
      <c r="C34" s="8">
        <f>C27</f>
        <v>5000000</v>
      </c>
      <c r="D34" s="8">
        <f>D27</f>
        <v>5000000</v>
      </c>
      <c r="E34" s="8">
        <v>0</v>
      </c>
      <c r="F34" s="381">
        <v>0</v>
      </c>
    </row>
    <row r="35" spans="1:16" ht="51.6" customHeight="1" thickBot="1" x14ac:dyDescent="0.35">
      <c r="A35" s="388" t="s">
        <v>463</v>
      </c>
      <c r="B35" s="389" t="s">
        <v>454</v>
      </c>
      <c r="C35" s="36">
        <v>0</v>
      </c>
      <c r="D35" s="36">
        <f t="shared" ref="D35:F36" si="0">D28</f>
        <v>-77085356</v>
      </c>
      <c r="E35" s="36">
        <f>E28</f>
        <v>77085356</v>
      </c>
      <c r="F35" s="390">
        <f>F28</f>
        <v>77085356</v>
      </c>
    </row>
    <row r="36" spans="1:16" ht="19.2" customHeight="1" thickBot="1" x14ac:dyDescent="0.4">
      <c r="A36" s="391" t="s">
        <v>6</v>
      </c>
      <c r="B36" s="392" t="s">
        <v>455</v>
      </c>
      <c r="C36" s="393">
        <f>C29</f>
        <v>61471928</v>
      </c>
      <c r="D36" s="393">
        <f t="shared" si="0"/>
        <v>-15613428</v>
      </c>
      <c r="E36" s="393">
        <f t="shared" si="0"/>
        <v>77085356</v>
      </c>
      <c r="F36" s="394">
        <f t="shared" si="0"/>
        <v>77085356</v>
      </c>
    </row>
    <row r="38" spans="1:16" ht="13.5" customHeight="1" x14ac:dyDescent="0.3"/>
    <row r="39" spans="1:16" s="5" customFormat="1" ht="42.6" customHeight="1" x14ac:dyDescent="0.3">
      <c r="A39" s="733" t="s">
        <v>440</v>
      </c>
      <c r="B39" s="733"/>
      <c r="C39" s="395"/>
      <c r="D39" s="395"/>
      <c r="E39" s="734" t="s">
        <v>539</v>
      </c>
      <c r="F39" s="734"/>
      <c r="G39" s="3"/>
      <c r="H39" s="3"/>
      <c r="I39" s="3"/>
      <c r="K39" s="3"/>
      <c r="L39" s="396"/>
      <c r="M39" s="3"/>
      <c r="N39" s="397"/>
      <c r="O39" s="398"/>
      <c r="P39" s="399"/>
    </row>
    <row r="40" spans="1:16" s="61" customFormat="1" ht="21" x14ac:dyDescent="0.4">
      <c r="A40" s="60"/>
      <c r="B40" s="60"/>
      <c r="F40" s="62"/>
    </row>
    <row r="41" spans="1:16" ht="15.6" x14ac:dyDescent="0.3">
      <c r="A41" s="63"/>
      <c r="B41" s="63"/>
    </row>
    <row r="42" spans="1:16" ht="15.6" x14ac:dyDescent="0.3">
      <c r="A42" s="735"/>
      <c r="B42" s="735"/>
    </row>
    <row r="43" spans="1:16" ht="15.6" x14ac:dyDescent="0.3">
      <c r="A43" s="1"/>
    </row>
  </sheetData>
  <mergeCells count="15">
    <mergeCell ref="D5:E5"/>
    <mergeCell ref="D13:E13"/>
    <mergeCell ref="A15:F15"/>
    <mergeCell ref="A19:A21"/>
    <mergeCell ref="B19:B21"/>
    <mergeCell ref="C19:C21"/>
    <mergeCell ref="D19:D21"/>
    <mergeCell ref="E19:F19"/>
    <mergeCell ref="E20:E21"/>
    <mergeCell ref="F20:F21"/>
    <mergeCell ref="A23:F23"/>
    <mergeCell ref="A30:F30"/>
    <mergeCell ref="A39:B39"/>
    <mergeCell ref="E39:F39"/>
    <mergeCell ref="A42:B42"/>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38"/>
  <sheetViews>
    <sheetView tabSelected="1" view="pageBreakPreview" topLeftCell="D119" zoomScale="80" zoomScaleNormal="100" zoomScaleSheetLayoutView="80" workbookViewId="0">
      <selection activeCell="L8" sqref="L1:L1048576"/>
    </sheetView>
  </sheetViews>
  <sheetFormatPr defaultColWidth="8.88671875" defaultRowHeight="15.6" x14ac:dyDescent="0.3"/>
  <cols>
    <col min="1" max="1" width="15.109375" style="127" customWidth="1"/>
    <col min="2" max="2" width="13.109375" style="127" customWidth="1"/>
    <col min="3" max="3" width="14" style="127" customWidth="1"/>
    <col min="4" max="4" width="47.33203125" style="128" customWidth="1"/>
    <col min="5" max="8" width="15.6640625" style="128" customWidth="1"/>
    <col min="9" max="15" width="15.6640625" style="129" customWidth="1"/>
    <col min="16" max="16" width="15.6640625" style="128" customWidth="1"/>
    <col min="17" max="18" width="8.88671875" style="1"/>
    <col min="19" max="19" width="10.5546875" style="1" bestFit="1" customWidth="1"/>
    <col min="20" max="16384" width="8.88671875" style="1"/>
  </cols>
  <sheetData>
    <row r="1" spans="1:17" x14ac:dyDescent="0.3">
      <c r="N1" s="177" t="s">
        <v>328</v>
      </c>
      <c r="O1" s="4"/>
    </row>
    <row r="2" spans="1:17" x14ac:dyDescent="0.3">
      <c r="N2" s="177" t="s">
        <v>631</v>
      </c>
      <c r="O2" s="4"/>
    </row>
    <row r="3" spans="1:17" x14ac:dyDescent="0.3">
      <c r="N3" s="178" t="s">
        <v>635</v>
      </c>
      <c r="O3" s="7"/>
    </row>
    <row r="4" spans="1:17" x14ac:dyDescent="0.3">
      <c r="N4" s="179" t="s">
        <v>633</v>
      </c>
      <c r="O4" s="180"/>
    </row>
    <row r="5" spans="1:17" x14ac:dyDescent="0.3">
      <c r="N5" s="724" t="s">
        <v>553</v>
      </c>
      <c r="O5" s="724"/>
    </row>
    <row r="7" spans="1:17" x14ac:dyDescent="0.3">
      <c r="K7" s="128"/>
      <c r="L7" s="128"/>
      <c r="M7" s="128"/>
      <c r="N7" s="758" t="s">
        <v>292</v>
      </c>
      <c r="O7" s="758"/>
      <c r="P7" s="758"/>
      <c r="Q7" s="2"/>
    </row>
    <row r="8" spans="1:17" x14ac:dyDescent="0.3">
      <c r="K8" s="128"/>
      <c r="L8" s="128"/>
      <c r="M8" s="128"/>
      <c r="N8" s="759" t="s">
        <v>7</v>
      </c>
      <c r="O8" s="759"/>
      <c r="P8" s="759"/>
      <c r="Q8" s="82"/>
    </row>
    <row r="9" spans="1:17" x14ac:dyDescent="0.3">
      <c r="K9" s="128"/>
      <c r="L9" s="128"/>
      <c r="M9" s="128"/>
      <c r="N9" s="759" t="s">
        <v>8</v>
      </c>
      <c r="O9" s="759"/>
      <c r="P9" s="759"/>
      <c r="Q9" s="82"/>
    </row>
    <row r="10" spans="1:17" x14ac:dyDescent="0.3">
      <c r="K10" s="128"/>
      <c r="L10" s="128"/>
      <c r="M10" s="128"/>
      <c r="N10" s="759" t="s">
        <v>228</v>
      </c>
      <c r="O10" s="759"/>
      <c r="P10" s="759"/>
      <c r="Q10" s="82"/>
    </row>
    <row r="11" spans="1:17" x14ac:dyDescent="0.3">
      <c r="K11" s="128"/>
      <c r="L11" s="128"/>
      <c r="M11" s="128"/>
      <c r="N11" s="756" t="s">
        <v>537</v>
      </c>
      <c r="O11" s="756"/>
      <c r="P11" s="339"/>
      <c r="Q11" s="82"/>
    </row>
    <row r="12" spans="1:17" x14ac:dyDescent="0.3">
      <c r="K12" s="128"/>
      <c r="L12" s="128"/>
      <c r="M12" s="128"/>
      <c r="N12" s="756" t="s">
        <v>543</v>
      </c>
      <c r="O12" s="756"/>
      <c r="P12" s="339"/>
      <c r="Q12" s="82"/>
    </row>
    <row r="13" spans="1:17" x14ac:dyDescent="0.3">
      <c r="K13" s="128"/>
      <c r="L13" s="128"/>
      <c r="M13" s="128"/>
      <c r="N13" s="759" t="s">
        <v>542</v>
      </c>
      <c r="O13" s="759"/>
      <c r="P13" s="759"/>
      <c r="Q13" s="62"/>
    </row>
    <row r="14" spans="1:17" x14ac:dyDescent="0.3">
      <c r="A14" s="748" t="s">
        <v>168</v>
      </c>
      <c r="B14" s="749"/>
      <c r="C14" s="749"/>
      <c r="D14" s="749"/>
      <c r="E14" s="749"/>
      <c r="F14" s="749"/>
      <c r="G14" s="749"/>
      <c r="H14" s="749"/>
      <c r="I14" s="749"/>
      <c r="J14" s="749"/>
      <c r="K14" s="749"/>
      <c r="L14" s="749"/>
      <c r="M14" s="749"/>
      <c r="N14" s="749"/>
      <c r="O14" s="749"/>
      <c r="P14" s="749"/>
    </row>
    <row r="15" spans="1:17" x14ac:dyDescent="0.3">
      <c r="A15" s="748" t="s">
        <v>263</v>
      </c>
      <c r="B15" s="749"/>
      <c r="C15" s="749"/>
      <c r="D15" s="749"/>
      <c r="E15" s="749"/>
      <c r="F15" s="749"/>
      <c r="G15" s="749"/>
      <c r="H15" s="749"/>
      <c r="I15" s="749"/>
      <c r="J15" s="749"/>
      <c r="K15" s="749"/>
      <c r="L15" s="749"/>
      <c r="M15" s="749"/>
      <c r="N15" s="749"/>
      <c r="O15" s="749"/>
      <c r="P15" s="749"/>
    </row>
    <row r="16" spans="1:17" x14ac:dyDescent="0.3">
      <c r="A16" s="130" t="s">
        <v>166</v>
      </c>
    </row>
    <row r="17" spans="1:16" ht="17.399999999999999" customHeight="1" thickBot="1" x14ac:dyDescent="0.35">
      <c r="A17" s="127" t="s">
        <v>0</v>
      </c>
      <c r="P17" s="129" t="s">
        <v>9</v>
      </c>
    </row>
    <row r="18" spans="1:16" s="83" customFormat="1" ht="13.2" x14ac:dyDescent="0.25">
      <c r="A18" s="750" t="s">
        <v>10</v>
      </c>
      <c r="B18" s="752" t="s">
        <v>11</v>
      </c>
      <c r="C18" s="752" t="s">
        <v>12</v>
      </c>
      <c r="D18" s="752" t="s">
        <v>13</v>
      </c>
      <c r="E18" s="752" t="s">
        <v>2</v>
      </c>
      <c r="F18" s="752"/>
      <c r="G18" s="752"/>
      <c r="H18" s="752"/>
      <c r="I18" s="752"/>
      <c r="J18" s="752" t="s">
        <v>3</v>
      </c>
      <c r="K18" s="752"/>
      <c r="L18" s="752"/>
      <c r="M18" s="752"/>
      <c r="N18" s="752"/>
      <c r="O18" s="752"/>
      <c r="P18" s="754" t="s">
        <v>169</v>
      </c>
    </row>
    <row r="19" spans="1:16" s="83" customFormat="1" ht="13.2" x14ac:dyDescent="0.25">
      <c r="A19" s="751"/>
      <c r="B19" s="753"/>
      <c r="C19" s="753"/>
      <c r="D19" s="753"/>
      <c r="E19" s="753" t="s">
        <v>4</v>
      </c>
      <c r="F19" s="753" t="s">
        <v>14</v>
      </c>
      <c r="G19" s="753" t="s">
        <v>170</v>
      </c>
      <c r="H19" s="753"/>
      <c r="I19" s="757" t="s">
        <v>171</v>
      </c>
      <c r="J19" s="753" t="s">
        <v>4</v>
      </c>
      <c r="K19" s="753" t="s">
        <v>5</v>
      </c>
      <c r="L19" s="753" t="s">
        <v>14</v>
      </c>
      <c r="M19" s="753" t="s">
        <v>170</v>
      </c>
      <c r="N19" s="753"/>
      <c r="O19" s="753" t="s">
        <v>171</v>
      </c>
      <c r="P19" s="755"/>
    </row>
    <row r="20" spans="1:16" s="83" customFormat="1" ht="13.2" x14ac:dyDescent="0.25">
      <c r="A20" s="751"/>
      <c r="B20" s="753"/>
      <c r="C20" s="753"/>
      <c r="D20" s="753"/>
      <c r="E20" s="753"/>
      <c r="F20" s="753"/>
      <c r="G20" s="753" t="s">
        <v>227</v>
      </c>
      <c r="H20" s="753" t="s">
        <v>172</v>
      </c>
      <c r="I20" s="757"/>
      <c r="J20" s="753"/>
      <c r="K20" s="753"/>
      <c r="L20" s="753"/>
      <c r="M20" s="753" t="s">
        <v>227</v>
      </c>
      <c r="N20" s="753" t="s">
        <v>172</v>
      </c>
      <c r="O20" s="753"/>
      <c r="P20" s="755"/>
    </row>
    <row r="21" spans="1:16" s="83" customFormat="1" ht="51" customHeight="1" x14ac:dyDescent="0.25">
      <c r="A21" s="751"/>
      <c r="B21" s="753"/>
      <c r="C21" s="753"/>
      <c r="D21" s="753"/>
      <c r="E21" s="753"/>
      <c r="F21" s="753"/>
      <c r="G21" s="753"/>
      <c r="H21" s="753"/>
      <c r="I21" s="757"/>
      <c r="J21" s="753"/>
      <c r="K21" s="753"/>
      <c r="L21" s="753"/>
      <c r="M21" s="753"/>
      <c r="N21" s="753"/>
      <c r="O21" s="753"/>
      <c r="P21" s="755"/>
    </row>
    <row r="22" spans="1:16" ht="12" customHeight="1" thickBot="1" x14ac:dyDescent="0.35">
      <c r="A22" s="119">
        <v>1</v>
      </c>
      <c r="B22" s="120">
        <v>2</v>
      </c>
      <c r="C22" s="120">
        <v>3</v>
      </c>
      <c r="D22" s="120">
        <v>4</v>
      </c>
      <c r="E22" s="120">
        <v>5</v>
      </c>
      <c r="F22" s="120">
        <v>6</v>
      </c>
      <c r="G22" s="120">
        <v>7</v>
      </c>
      <c r="H22" s="120">
        <v>8</v>
      </c>
      <c r="I22" s="131">
        <v>9</v>
      </c>
      <c r="J22" s="131">
        <v>10</v>
      </c>
      <c r="K22" s="131">
        <v>11</v>
      </c>
      <c r="L22" s="131">
        <v>12</v>
      </c>
      <c r="M22" s="131">
        <v>13</v>
      </c>
      <c r="N22" s="131">
        <v>14</v>
      </c>
      <c r="O22" s="131">
        <v>15</v>
      </c>
      <c r="P22" s="132">
        <v>16</v>
      </c>
    </row>
    <row r="23" spans="1:16" ht="45.75" customHeight="1" thickBot="1" x14ac:dyDescent="0.35">
      <c r="A23" s="114" t="s">
        <v>15</v>
      </c>
      <c r="B23" s="115" t="s">
        <v>16</v>
      </c>
      <c r="C23" s="115" t="s">
        <v>16</v>
      </c>
      <c r="D23" s="117" t="s">
        <v>17</v>
      </c>
      <c r="E23" s="133">
        <f>E24</f>
        <v>98292337</v>
      </c>
      <c r="F23" s="133">
        <f>F24</f>
        <v>98292337</v>
      </c>
      <c r="G23" s="133">
        <f t="shared" ref="G23:I23" si="0">G24</f>
        <v>19785169</v>
      </c>
      <c r="H23" s="133">
        <f t="shared" si="0"/>
        <v>2835579</v>
      </c>
      <c r="I23" s="134">
        <f t="shared" si="0"/>
        <v>0</v>
      </c>
      <c r="J23" s="134">
        <f>J24</f>
        <v>18761064</v>
      </c>
      <c r="K23" s="134">
        <f>K24</f>
        <v>18761064</v>
      </c>
      <c r="L23" s="134">
        <f t="shared" ref="L23:O23" si="1">L24</f>
        <v>0</v>
      </c>
      <c r="M23" s="134">
        <f t="shared" si="1"/>
        <v>0</v>
      </c>
      <c r="N23" s="134">
        <f t="shared" si="1"/>
        <v>0</v>
      </c>
      <c r="O23" s="134">
        <f t="shared" si="1"/>
        <v>18761064</v>
      </c>
      <c r="P23" s="135">
        <f>E23+J23</f>
        <v>117053401</v>
      </c>
    </row>
    <row r="24" spans="1:16" ht="31.2" x14ac:dyDescent="0.3">
      <c r="A24" s="136" t="s">
        <v>18</v>
      </c>
      <c r="B24" s="137" t="s">
        <v>16</v>
      </c>
      <c r="C24" s="137" t="s">
        <v>16</v>
      </c>
      <c r="D24" s="138" t="s">
        <v>17</v>
      </c>
      <c r="E24" s="139">
        <f>E25+E27+E28+E30+E33+E34+E35+E36+E26+E29+E37</f>
        <v>98292337</v>
      </c>
      <c r="F24" s="139">
        <f>F25+F27+F28+F30+F33+F34+F35+F36+F26+F29+F37</f>
        <v>98292337</v>
      </c>
      <c r="G24" s="139">
        <f>G25+G27+G28+G30+G33+G34+G35+G36+G26+G29</f>
        <v>19785169</v>
      </c>
      <c r="H24" s="139">
        <f>H25+H27+H28+H30+H33+H34+H35+H36+H26+H29</f>
        <v>2835579</v>
      </c>
      <c r="I24" s="140">
        <f>I25+I27+I28+I30+I33+I34+I35+I36+I26+I29</f>
        <v>0</v>
      </c>
      <c r="J24" s="140">
        <f>J25+J26+J27+J29+J30+J31+J32+J33+J34+J35+J35+J36+J28+J37</f>
        <v>18761064</v>
      </c>
      <c r="K24" s="140">
        <f>K25+K26+K27+K29+K30+K31+K32+K33+K34+K35+K35+K36+K28+K37</f>
        <v>18761064</v>
      </c>
      <c r="L24" s="140">
        <f t="shared" ref="L24:N24" si="2">L25+L26+L27+L29+L30+L31+L32+L33+L34+L35+L35+L36+L28</f>
        <v>0</v>
      </c>
      <c r="M24" s="140">
        <f t="shared" si="2"/>
        <v>0</v>
      </c>
      <c r="N24" s="140">
        <f t="shared" si="2"/>
        <v>0</v>
      </c>
      <c r="O24" s="140">
        <f>O25+O26+O27+O29+O30+O31+O32+O33+O34+O35+O35+O36+O28+O37</f>
        <v>18761064</v>
      </c>
      <c r="P24" s="141">
        <f>E24+J24</f>
        <v>117053401</v>
      </c>
    </row>
    <row r="25" spans="1:16" ht="78" x14ac:dyDescent="0.3">
      <c r="A25" s="595" t="s">
        <v>173</v>
      </c>
      <c r="B25" s="597" t="s">
        <v>174</v>
      </c>
      <c r="C25" s="597" t="s">
        <v>19</v>
      </c>
      <c r="D25" s="79" t="s">
        <v>175</v>
      </c>
      <c r="E25" s="122">
        <f>F25+I25</f>
        <v>25811260</v>
      </c>
      <c r="F25" s="122">
        <f>25894260-83000</f>
        <v>25811260</v>
      </c>
      <c r="G25" s="122">
        <v>19785169</v>
      </c>
      <c r="H25" s="122">
        <v>2835579</v>
      </c>
      <c r="I25" s="8">
        <v>0</v>
      </c>
      <c r="J25" s="140">
        <f>L25+O25</f>
        <v>338000</v>
      </c>
      <c r="K25" s="8">
        <v>338000</v>
      </c>
      <c r="L25" s="8"/>
      <c r="M25" s="8">
        <v>0</v>
      </c>
      <c r="N25" s="8">
        <v>0</v>
      </c>
      <c r="O25" s="8">
        <v>338000</v>
      </c>
      <c r="P25" s="171">
        <f t="shared" ref="P25:P35" si="3">E25+J25</f>
        <v>26149260</v>
      </c>
    </row>
    <row r="26" spans="1:16" x14ac:dyDescent="0.3">
      <c r="A26" s="143" t="s">
        <v>501</v>
      </c>
      <c r="B26" s="142" t="s">
        <v>226</v>
      </c>
      <c r="C26" s="142" t="s">
        <v>224</v>
      </c>
      <c r="D26" s="79" t="s">
        <v>561</v>
      </c>
      <c r="E26" s="122">
        <f>F26+I26</f>
        <v>109000</v>
      </c>
      <c r="F26" s="122">
        <f>141000-32000</f>
        <v>109000</v>
      </c>
      <c r="G26" s="122">
        <v>0</v>
      </c>
      <c r="H26" s="122">
        <v>0</v>
      </c>
      <c r="I26" s="122">
        <v>0</v>
      </c>
      <c r="J26" s="140">
        <f t="shared" ref="J26:J31" si="4">L26+O26</f>
        <v>0</v>
      </c>
      <c r="K26" s="122">
        <v>0</v>
      </c>
      <c r="L26" s="122">
        <v>0</v>
      </c>
      <c r="M26" s="122">
        <v>0</v>
      </c>
      <c r="N26" s="122">
        <v>0</v>
      </c>
      <c r="O26" s="122">
        <v>0</v>
      </c>
      <c r="P26" s="171">
        <f t="shared" si="3"/>
        <v>109000</v>
      </c>
    </row>
    <row r="27" spans="1:16" ht="31.2" x14ac:dyDescent="0.3">
      <c r="A27" s="595" t="s">
        <v>20</v>
      </c>
      <c r="B27" s="597" t="s">
        <v>21</v>
      </c>
      <c r="C27" s="597" t="s">
        <v>22</v>
      </c>
      <c r="D27" s="79" t="s">
        <v>23</v>
      </c>
      <c r="E27" s="122">
        <f t="shared" ref="E27:E35" si="5">F27+I27</f>
        <v>22925874</v>
      </c>
      <c r="F27" s="122">
        <v>22925874</v>
      </c>
      <c r="G27" s="122">
        <v>0</v>
      </c>
      <c r="H27" s="122">
        <v>0</v>
      </c>
      <c r="I27" s="8">
        <v>0</v>
      </c>
      <c r="J27" s="140">
        <f t="shared" si="4"/>
        <v>0</v>
      </c>
      <c r="K27" s="8">
        <v>0</v>
      </c>
      <c r="L27" s="8">
        <v>0</v>
      </c>
      <c r="M27" s="8">
        <v>0</v>
      </c>
      <c r="N27" s="8">
        <v>0</v>
      </c>
      <c r="O27" s="8">
        <v>0</v>
      </c>
      <c r="P27" s="171">
        <f t="shared" si="3"/>
        <v>22925874</v>
      </c>
    </row>
    <row r="28" spans="1:16" ht="46.8" x14ac:dyDescent="0.3">
      <c r="A28" s="595" t="s">
        <v>24</v>
      </c>
      <c r="B28" s="597" t="s">
        <v>25</v>
      </c>
      <c r="C28" s="597" t="s">
        <v>26</v>
      </c>
      <c r="D28" s="79" t="s">
        <v>27</v>
      </c>
      <c r="E28" s="122">
        <f t="shared" si="5"/>
        <v>556580</v>
      </c>
      <c r="F28" s="122">
        <v>556580</v>
      </c>
      <c r="G28" s="122">
        <v>0</v>
      </c>
      <c r="H28" s="122">
        <v>0</v>
      </c>
      <c r="I28" s="8">
        <v>0</v>
      </c>
      <c r="J28" s="140">
        <f>L28+O28</f>
        <v>372400</v>
      </c>
      <c r="K28" s="8">
        <v>372400</v>
      </c>
      <c r="L28" s="8">
        <v>0</v>
      </c>
      <c r="M28" s="8">
        <v>0</v>
      </c>
      <c r="N28" s="8">
        <v>0</v>
      </c>
      <c r="O28" s="8">
        <v>372400</v>
      </c>
      <c r="P28" s="171">
        <f t="shared" si="3"/>
        <v>928980</v>
      </c>
    </row>
    <row r="29" spans="1:16" ht="31.2" x14ac:dyDescent="0.3">
      <c r="A29" s="143" t="s">
        <v>240</v>
      </c>
      <c r="B29" s="597">
        <v>2152</v>
      </c>
      <c r="C29" s="142" t="s">
        <v>241</v>
      </c>
      <c r="D29" s="79" t="s">
        <v>264</v>
      </c>
      <c r="E29" s="122">
        <f t="shared" si="5"/>
        <v>2810623</v>
      </c>
      <c r="F29" s="122">
        <v>2810623</v>
      </c>
      <c r="G29" s="122">
        <v>0</v>
      </c>
      <c r="H29" s="122">
        <v>0</v>
      </c>
      <c r="I29" s="122">
        <v>0</v>
      </c>
      <c r="J29" s="140">
        <f t="shared" si="4"/>
        <v>0</v>
      </c>
      <c r="K29" s="122">
        <v>0</v>
      </c>
      <c r="L29" s="122">
        <v>0</v>
      </c>
      <c r="M29" s="122">
        <v>0</v>
      </c>
      <c r="N29" s="122">
        <v>0</v>
      </c>
      <c r="O29" s="122">
        <v>0</v>
      </c>
      <c r="P29" s="171">
        <f t="shared" si="3"/>
        <v>2810623</v>
      </c>
    </row>
    <row r="30" spans="1:16" ht="31.2" x14ac:dyDescent="0.3">
      <c r="A30" s="595" t="s">
        <v>31</v>
      </c>
      <c r="B30" s="597" t="s">
        <v>32</v>
      </c>
      <c r="C30" s="597" t="s">
        <v>33</v>
      </c>
      <c r="D30" s="79" t="s">
        <v>34</v>
      </c>
      <c r="E30" s="122">
        <f t="shared" si="5"/>
        <v>356546</v>
      </c>
      <c r="F30" s="122">
        <f>72000+284546</f>
        <v>356546</v>
      </c>
      <c r="G30" s="122">
        <v>0</v>
      </c>
      <c r="H30" s="122">
        <v>0</v>
      </c>
      <c r="I30" s="8">
        <v>0</v>
      </c>
      <c r="J30" s="140">
        <f>L30+O30</f>
        <v>53364</v>
      </c>
      <c r="K30" s="8">
        <f>0+53364</f>
        <v>53364</v>
      </c>
      <c r="L30" s="8">
        <v>0</v>
      </c>
      <c r="M30" s="8">
        <v>0</v>
      </c>
      <c r="N30" s="8">
        <v>0</v>
      </c>
      <c r="O30" s="8">
        <f>K30</f>
        <v>53364</v>
      </c>
      <c r="P30" s="171">
        <f>E30+J30</f>
        <v>409910</v>
      </c>
    </row>
    <row r="31" spans="1:16" ht="32.25" customHeight="1" x14ac:dyDescent="0.3">
      <c r="A31" s="143" t="s">
        <v>265</v>
      </c>
      <c r="B31" s="142">
        <v>7650</v>
      </c>
      <c r="C31" s="142" t="s">
        <v>178</v>
      </c>
      <c r="D31" s="79" t="s">
        <v>266</v>
      </c>
      <c r="E31" s="122">
        <f t="shared" si="5"/>
        <v>0</v>
      </c>
      <c r="F31" s="122">
        <v>0</v>
      </c>
      <c r="G31" s="122">
        <v>0</v>
      </c>
      <c r="H31" s="122">
        <v>0</v>
      </c>
      <c r="I31" s="8">
        <v>0</v>
      </c>
      <c r="J31" s="140">
        <f t="shared" si="4"/>
        <v>57000</v>
      </c>
      <c r="K31" s="8">
        <v>57000</v>
      </c>
      <c r="L31" s="8">
        <v>0</v>
      </c>
      <c r="M31" s="122">
        <v>0</v>
      </c>
      <c r="N31" s="122">
        <v>0</v>
      </c>
      <c r="O31" s="8">
        <v>57000</v>
      </c>
      <c r="P31" s="171">
        <f t="shared" si="3"/>
        <v>57000</v>
      </c>
    </row>
    <row r="32" spans="1:16" ht="78" x14ac:dyDescent="0.3">
      <c r="A32" s="143" t="s">
        <v>267</v>
      </c>
      <c r="B32" s="142" t="s">
        <v>268</v>
      </c>
      <c r="C32" s="142" t="s">
        <v>178</v>
      </c>
      <c r="D32" s="79" t="s">
        <v>269</v>
      </c>
      <c r="E32" s="122">
        <f t="shared" si="5"/>
        <v>0</v>
      </c>
      <c r="F32" s="122">
        <v>0</v>
      </c>
      <c r="G32" s="122">
        <v>0</v>
      </c>
      <c r="H32" s="122">
        <v>0</v>
      </c>
      <c r="I32" s="8">
        <v>0</v>
      </c>
      <c r="J32" s="559">
        <f>L32+O32</f>
        <v>16900</v>
      </c>
      <c r="K32" s="8">
        <v>16900</v>
      </c>
      <c r="L32" s="8">
        <v>0</v>
      </c>
      <c r="M32" s="122">
        <v>0</v>
      </c>
      <c r="N32" s="122">
        <v>0</v>
      </c>
      <c r="O32" s="8">
        <v>16900</v>
      </c>
      <c r="P32" s="560">
        <f t="shared" si="3"/>
        <v>16900</v>
      </c>
    </row>
    <row r="33" spans="1:16" ht="31.2" x14ac:dyDescent="0.3">
      <c r="A33" s="595" t="s">
        <v>176</v>
      </c>
      <c r="B33" s="597" t="s">
        <v>177</v>
      </c>
      <c r="C33" s="597" t="s">
        <v>178</v>
      </c>
      <c r="D33" s="79" t="s">
        <v>179</v>
      </c>
      <c r="E33" s="122">
        <f t="shared" si="5"/>
        <v>39188</v>
      </c>
      <c r="F33" s="122">
        <v>39188</v>
      </c>
      <c r="G33" s="122">
        <v>0</v>
      </c>
      <c r="H33" s="122">
        <v>0</v>
      </c>
      <c r="I33" s="8">
        <v>0</v>
      </c>
      <c r="J33" s="140">
        <f t="shared" ref="J33:J36" si="6">L33+O33</f>
        <v>0</v>
      </c>
      <c r="K33" s="8">
        <v>0</v>
      </c>
      <c r="L33" s="8">
        <v>0</v>
      </c>
      <c r="M33" s="8">
        <v>0</v>
      </c>
      <c r="N33" s="8">
        <v>0</v>
      </c>
      <c r="O33" s="8">
        <v>0</v>
      </c>
      <c r="P33" s="171">
        <f t="shared" si="3"/>
        <v>39188</v>
      </c>
    </row>
    <row r="34" spans="1:16" ht="31.2" x14ac:dyDescent="0.3">
      <c r="A34" s="595" t="s">
        <v>35</v>
      </c>
      <c r="B34" s="597" t="s">
        <v>36</v>
      </c>
      <c r="C34" s="597" t="s">
        <v>37</v>
      </c>
      <c r="D34" s="79" t="s">
        <v>38</v>
      </c>
      <c r="E34" s="122">
        <f t="shared" si="5"/>
        <v>6000</v>
      </c>
      <c r="F34" s="122">
        <v>6000</v>
      </c>
      <c r="G34" s="122">
        <v>0</v>
      </c>
      <c r="H34" s="122">
        <v>0</v>
      </c>
      <c r="I34" s="8">
        <v>0</v>
      </c>
      <c r="J34" s="559">
        <f t="shared" si="6"/>
        <v>0</v>
      </c>
      <c r="K34" s="8">
        <v>0</v>
      </c>
      <c r="L34" s="8">
        <v>0</v>
      </c>
      <c r="M34" s="8">
        <v>0</v>
      </c>
      <c r="N34" s="8">
        <v>0</v>
      </c>
      <c r="O34" s="8">
        <v>0</v>
      </c>
      <c r="P34" s="560">
        <f t="shared" si="3"/>
        <v>6000</v>
      </c>
    </row>
    <row r="35" spans="1:16" x14ac:dyDescent="0.3">
      <c r="A35" s="595" t="s">
        <v>159</v>
      </c>
      <c r="B35" s="597" t="s">
        <v>180</v>
      </c>
      <c r="C35" s="597" t="s">
        <v>37</v>
      </c>
      <c r="D35" s="79" t="s">
        <v>160</v>
      </c>
      <c r="E35" s="122">
        <f t="shared" si="5"/>
        <v>19833100</v>
      </c>
      <c r="F35" s="122">
        <f>20061160-228060</f>
        <v>19833100</v>
      </c>
      <c r="G35" s="122">
        <v>0</v>
      </c>
      <c r="H35" s="122">
        <v>0</v>
      </c>
      <c r="I35" s="8">
        <v>0</v>
      </c>
      <c r="J35" s="140">
        <f t="shared" si="6"/>
        <v>0</v>
      </c>
      <c r="K35" s="8">
        <v>0</v>
      </c>
      <c r="L35" s="8">
        <v>0</v>
      </c>
      <c r="M35" s="8">
        <v>0</v>
      </c>
      <c r="N35" s="8">
        <v>0</v>
      </c>
      <c r="O35" s="8">
        <v>0</v>
      </c>
      <c r="P35" s="171">
        <f t="shared" si="3"/>
        <v>19833100</v>
      </c>
    </row>
    <row r="36" spans="1:16" ht="31.2" x14ac:dyDescent="0.3">
      <c r="A36" s="595" t="s">
        <v>39</v>
      </c>
      <c r="B36" s="597" t="s">
        <v>40</v>
      </c>
      <c r="C36" s="597" t="s">
        <v>41</v>
      </c>
      <c r="D36" s="79" t="s">
        <v>42</v>
      </c>
      <c r="E36" s="122">
        <f>F36+I36</f>
        <v>3379702</v>
      </c>
      <c r="F36" s="122">
        <v>3379702</v>
      </c>
      <c r="G36" s="122">
        <v>0</v>
      </c>
      <c r="H36" s="122">
        <v>0</v>
      </c>
      <c r="I36" s="8">
        <v>0</v>
      </c>
      <c r="J36" s="140">
        <f t="shared" si="6"/>
        <v>0</v>
      </c>
      <c r="K36" s="8">
        <v>0</v>
      </c>
      <c r="L36" s="8">
        <v>0</v>
      </c>
      <c r="M36" s="8">
        <v>0</v>
      </c>
      <c r="N36" s="8">
        <v>0</v>
      </c>
      <c r="O36" s="8">
        <v>0</v>
      </c>
      <c r="P36" s="171">
        <f>E36+J36</f>
        <v>3379702</v>
      </c>
    </row>
    <row r="37" spans="1:16" ht="47.4" thickBot="1" x14ac:dyDescent="0.35">
      <c r="A37" s="482" t="s">
        <v>490</v>
      </c>
      <c r="B37" s="17">
        <v>9800</v>
      </c>
      <c r="C37" s="142" t="s">
        <v>226</v>
      </c>
      <c r="D37" s="478" t="s">
        <v>491</v>
      </c>
      <c r="E37" s="122">
        <f>F37+I37</f>
        <v>22464464</v>
      </c>
      <c r="F37" s="479">
        <f>5000000+1500000+521164+850000+63000+30300+14500000</f>
        <v>22464464</v>
      </c>
      <c r="G37" s="479">
        <v>0</v>
      </c>
      <c r="H37" s="479">
        <v>0</v>
      </c>
      <c r="I37" s="480">
        <v>0</v>
      </c>
      <c r="J37" s="140">
        <f>L37+O37</f>
        <v>17923400</v>
      </c>
      <c r="K37" s="481">
        <f>0+1000000+150000+2937000+26000+310400+13500000</f>
        <v>17923400</v>
      </c>
      <c r="L37" s="481">
        <v>0</v>
      </c>
      <c r="M37" s="481">
        <v>0</v>
      </c>
      <c r="N37" s="481">
        <v>0</v>
      </c>
      <c r="O37" s="481">
        <f>K37</f>
        <v>17923400</v>
      </c>
      <c r="P37" s="171">
        <f>E37+J37</f>
        <v>40387864</v>
      </c>
    </row>
    <row r="38" spans="1:16" ht="31.8" thickBot="1" x14ac:dyDescent="0.35">
      <c r="A38" s="114" t="s">
        <v>43</v>
      </c>
      <c r="B38" s="115" t="s">
        <v>16</v>
      </c>
      <c r="C38" s="115" t="s">
        <v>16</v>
      </c>
      <c r="D38" s="117" t="s">
        <v>44</v>
      </c>
      <c r="E38" s="144">
        <f>E39</f>
        <v>239509826</v>
      </c>
      <c r="F38" s="144">
        <f>F39</f>
        <v>239509826</v>
      </c>
      <c r="G38" s="144">
        <f t="shared" ref="G38:I38" si="7">G39</f>
        <v>188876107</v>
      </c>
      <c r="H38" s="144">
        <f t="shared" si="7"/>
        <v>25075216</v>
      </c>
      <c r="I38" s="144">
        <f t="shared" si="7"/>
        <v>0</v>
      </c>
      <c r="J38" s="144">
        <f>J39</f>
        <v>9660508</v>
      </c>
      <c r="K38" s="144">
        <f>K39</f>
        <v>0</v>
      </c>
      <c r="L38" s="144">
        <f t="shared" ref="L38:N38" si="8">L39</f>
        <v>8963728</v>
      </c>
      <c r="M38" s="144">
        <f>M39</f>
        <v>1183367</v>
      </c>
      <c r="N38" s="144">
        <f t="shared" si="8"/>
        <v>55353</v>
      </c>
      <c r="O38" s="144">
        <f>O39</f>
        <v>394842</v>
      </c>
      <c r="P38" s="145">
        <f>E38+J38</f>
        <v>249170334</v>
      </c>
    </row>
    <row r="39" spans="1:16" s="84" customFormat="1" ht="31.2" x14ac:dyDescent="0.3">
      <c r="A39" s="136" t="s">
        <v>45</v>
      </c>
      <c r="B39" s="137" t="s">
        <v>16</v>
      </c>
      <c r="C39" s="137" t="s">
        <v>16</v>
      </c>
      <c r="D39" s="138" t="s">
        <v>44</v>
      </c>
      <c r="E39" s="124">
        <f>E40+E41+E42+E43+E44+E46+E47+E48+E49+E50+E52+E51+E45+E53</f>
        <v>239509826</v>
      </c>
      <c r="F39" s="124">
        <f>F40+F41+F42+F43+F44+F46+F47+F48+F49+F50+F52+F51+F45+F53</f>
        <v>239509826</v>
      </c>
      <c r="G39" s="124">
        <f>G40+G41+G42+G43+G44+G48+G49+G50+G52+G51</f>
        <v>188876107</v>
      </c>
      <c r="H39" s="124">
        <f t="shared" ref="H39:N39" si="9">H40+H41+H42+H43+H44+H48+H49+H50+H52</f>
        <v>25075216</v>
      </c>
      <c r="I39" s="124">
        <f t="shared" si="9"/>
        <v>0</v>
      </c>
      <c r="J39" s="124">
        <f>J40+J41+J42+J43+J44+J46+J47+J48+J49+J50+J52</f>
        <v>9660508</v>
      </c>
      <c r="K39" s="124">
        <f t="shared" si="9"/>
        <v>0</v>
      </c>
      <c r="L39" s="124">
        <f t="shared" si="9"/>
        <v>8963728</v>
      </c>
      <c r="M39" s="124">
        <f t="shared" si="9"/>
        <v>1183367</v>
      </c>
      <c r="N39" s="124">
        <f t="shared" si="9"/>
        <v>55353</v>
      </c>
      <c r="O39" s="124">
        <f>O40+O41+O42+O43+O44+O46+O47+O48+O49+O50+O52</f>
        <v>394842</v>
      </c>
      <c r="P39" s="146">
        <f t="shared" ref="P39:P53" si="10">E39+J39</f>
        <v>249170334</v>
      </c>
    </row>
    <row r="40" spans="1:16" ht="46.8" x14ac:dyDescent="0.3">
      <c r="A40" s="595" t="s">
        <v>181</v>
      </c>
      <c r="B40" s="597" t="s">
        <v>46</v>
      </c>
      <c r="C40" s="597" t="s">
        <v>19</v>
      </c>
      <c r="D40" s="79" t="s">
        <v>182</v>
      </c>
      <c r="E40" s="122">
        <f>F40+I40</f>
        <v>3424257</v>
      </c>
      <c r="F40" s="122">
        <v>3424257</v>
      </c>
      <c r="G40" s="122">
        <v>2882617</v>
      </c>
      <c r="H40" s="122">
        <v>140633</v>
      </c>
      <c r="I40" s="8">
        <v>0</v>
      </c>
      <c r="J40" s="8">
        <f>L40+O40</f>
        <v>0</v>
      </c>
      <c r="K40" s="8">
        <v>0</v>
      </c>
      <c r="L40" s="8">
        <v>0</v>
      </c>
      <c r="M40" s="8">
        <v>0</v>
      </c>
      <c r="N40" s="8">
        <v>0</v>
      </c>
      <c r="O40" s="8">
        <v>0</v>
      </c>
      <c r="P40" s="147">
        <f t="shared" si="10"/>
        <v>3424257</v>
      </c>
    </row>
    <row r="41" spans="1:16" x14ac:dyDescent="0.3">
      <c r="A41" s="595" t="s">
        <v>47</v>
      </c>
      <c r="B41" s="597" t="s">
        <v>48</v>
      </c>
      <c r="C41" s="597" t="s">
        <v>49</v>
      </c>
      <c r="D41" s="79" t="s">
        <v>50</v>
      </c>
      <c r="E41" s="122">
        <f t="shared" ref="E41:E53" si="11">F41+I41</f>
        <v>80854790</v>
      </c>
      <c r="F41" s="122">
        <f>80978471-119222-4459</f>
        <v>80854790</v>
      </c>
      <c r="G41" s="122">
        <f>62483112-85683</f>
        <v>62397429</v>
      </c>
      <c r="H41" s="122">
        <f>8498224+81917</f>
        <v>8580141</v>
      </c>
      <c r="I41" s="8">
        <v>0</v>
      </c>
      <c r="J41" s="8">
        <f>L41+O41</f>
        <v>2382283</v>
      </c>
      <c r="K41" s="8">
        <v>0</v>
      </c>
      <c r="L41" s="8">
        <v>2382283</v>
      </c>
      <c r="M41" s="8"/>
      <c r="N41" s="8">
        <v>0</v>
      </c>
      <c r="O41" s="8">
        <v>0</v>
      </c>
      <c r="P41" s="147">
        <f>E41+J41</f>
        <v>83237073</v>
      </c>
    </row>
    <row r="42" spans="1:16" ht="46.8" x14ac:dyDescent="0.3">
      <c r="A42" s="595" t="s">
        <v>51</v>
      </c>
      <c r="B42" s="597" t="s">
        <v>52</v>
      </c>
      <c r="C42" s="597" t="s">
        <v>53</v>
      </c>
      <c r="D42" s="79" t="s">
        <v>498</v>
      </c>
      <c r="E42" s="122">
        <f t="shared" si="11"/>
        <v>63895492</v>
      </c>
      <c r="F42" s="122">
        <f>63503220+499070+72600-179398-47847-30000+30000+47847</f>
        <v>63895492</v>
      </c>
      <c r="G42" s="122">
        <f>31257988+4214390</f>
        <v>35472378</v>
      </c>
      <c r="H42" s="122">
        <f>15409909+47847</f>
        <v>15457756</v>
      </c>
      <c r="I42" s="8">
        <v>0</v>
      </c>
      <c r="J42" s="8">
        <f>L42+O42</f>
        <v>6581445</v>
      </c>
      <c r="K42" s="8">
        <v>0</v>
      </c>
      <c r="L42" s="8">
        <v>6581445</v>
      </c>
      <c r="M42" s="8">
        <v>1183367</v>
      </c>
      <c r="N42" s="8">
        <v>55353</v>
      </c>
      <c r="O42" s="8">
        <v>0</v>
      </c>
      <c r="P42" s="147">
        <f>E42+J42</f>
        <v>70476937</v>
      </c>
    </row>
    <row r="43" spans="1:16" ht="60.6" customHeight="1" x14ac:dyDescent="0.3">
      <c r="A43" s="166" t="s">
        <v>183</v>
      </c>
      <c r="B43" s="167" t="s">
        <v>184</v>
      </c>
      <c r="C43" s="167" t="s">
        <v>53</v>
      </c>
      <c r="D43" s="79" t="s">
        <v>499</v>
      </c>
      <c r="E43" s="122">
        <f t="shared" si="11"/>
        <v>75510600</v>
      </c>
      <c r="F43" s="8">
        <v>75510600</v>
      </c>
      <c r="G43" s="8">
        <v>75510600</v>
      </c>
      <c r="H43" s="8">
        <v>0</v>
      </c>
      <c r="I43" s="8">
        <v>0</v>
      </c>
      <c r="J43" s="8">
        <f t="shared" ref="J43:J47" si="12">L43+O43</f>
        <v>0</v>
      </c>
      <c r="K43" s="8">
        <v>0</v>
      </c>
      <c r="L43" s="8">
        <v>0</v>
      </c>
      <c r="M43" s="8">
        <v>0</v>
      </c>
      <c r="N43" s="8">
        <v>0</v>
      </c>
      <c r="O43" s="8">
        <v>0</v>
      </c>
      <c r="P43" s="147">
        <f t="shared" si="10"/>
        <v>75510600</v>
      </c>
    </row>
    <row r="44" spans="1:16" ht="46.8" x14ac:dyDescent="0.3">
      <c r="A44" s="595" t="s">
        <v>55</v>
      </c>
      <c r="B44" s="597" t="s">
        <v>56</v>
      </c>
      <c r="C44" s="597" t="s">
        <v>57</v>
      </c>
      <c r="D44" s="79" t="s">
        <v>58</v>
      </c>
      <c r="E44" s="122">
        <f>F44+I44</f>
        <v>5329432</v>
      </c>
      <c r="F44" s="122">
        <v>5329432</v>
      </c>
      <c r="G44" s="122">
        <v>4804311</v>
      </c>
      <c r="H44" s="122">
        <v>244601</v>
      </c>
      <c r="I44" s="8">
        <v>0</v>
      </c>
      <c r="J44" s="8">
        <f t="shared" si="12"/>
        <v>0</v>
      </c>
      <c r="K44" s="8">
        <v>0</v>
      </c>
      <c r="L44" s="8">
        <v>0</v>
      </c>
      <c r="M44" s="8">
        <v>0</v>
      </c>
      <c r="N44" s="8">
        <v>0</v>
      </c>
      <c r="O44" s="8">
        <v>0</v>
      </c>
      <c r="P44" s="147">
        <f t="shared" si="10"/>
        <v>5329432</v>
      </c>
    </row>
    <row r="45" spans="1:16" ht="78" x14ac:dyDescent="0.3">
      <c r="A45" s="143" t="s">
        <v>610</v>
      </c>
      <c r="B45" s="604">
        <v>1210</v>
      </c>
      <c r="C45" s="142" t="s">
        <v>59</v>
      </c>
      <c r="D45" s="79" t="s">
        <v>611</v>
      </c>
      <c r="E45" s="122">
        <f>F45+I45</f>
        <v>110550</v>
      </c>
      <c r="F45" s="122">
        <v>110550</v>
      </c>
      <c r="G45" s="122"/>
      <c r="H45" s="122"/>
      <c r="I45" s="8"/>
      <c r="J45" s="8"/>
      <c r="K45" s="8"/>
      <c r="L45" s="8"/>
      <c r="M45" s="8"/>
      <c r="N45" s="8"/>
      <c r="O45" s="8"/>
      <c r="P45" s="147">
        <f t="shared" si="10"/>
        <v>110550</v>
      </c>
    </row>
    <row r="46" spans="1:16" ht="109.2" x14ac:dyDescent="0.3">
      <c r="A46" s="143" t="s">
        <v>494</v>
      </c>
      <c r="B46" s="142" t="s">
        <v>496</v>
      </c>
      <c r="C46" s="142" t="s">
        <v>59</v>
      </c>
      <c r="D46" s="79" t="s">
        <v>492</v>
      </c>
      <c r="E46" s="122">
        <f t="shared" si="11"/>
        <v>298620</v>
      </c>
      <c r="F46" s="122">
        <f>0+298620</f>
        <v>298620</v>
      </c>
      <c r="G46" s="122">
        <v>0</v>
      </c>
      <c r="H46" s="122">
        <v>0</v>
      </c>
      <c r="I46" s="122">
        <v>0</v>
      </c>
      <c r="J46" s="8">
        <f t="shared" si="12"/>
        <v>0</v>
      </c>
      <c r="K46" s="8">
        <v>0</v>
      </c>
      <c r="L46" s="8">
        <v>0</v>
      </c>
      <c r="M46" s="8">
        <v>0</v>
      </c>
      <c r="N46" s="8">
        <v>0</v>
      </c>
      <c r="O46" s="8">
        <v>0</v>
      </c>
      <c r="P46" s="147">
        <f t="shared" si="10"/>
        <v>298620</v>
      </c>
    </row>
    <row r="47" spans="1:16" ht="109.2" x14ac:dyDescent="0.3">
      <c r="A47" s="143" t="s">
        <v>495</v>
      </c>
      <c r="B47" s="142" t="s">
        <v>497</v>
      </c>
      <c r="C47" s="142" t="s">
        <v>59</v>
      </c>
      <c r="D47" s="79" t="s">
        <v>493</v>
      </c>
      <c r="E47" s="122">
        <f t="shared" si="11"/>
        <v>0</v>
      </c>
      <c r="F47" s="122">
        <v>0</v>
      </c>
      <c r="G47" s="122">
        <v>0</v>
      </c>
      <c r="H47" s="122">
        <v>0</v>
      </c>
      <c r="I47" s="122">
        <v>0</v>
      </c>
      <c r="J47" s="8">
        <f t="shared" si="12"/>
        <v>696780</v>
      </c>
      <c r="K47" s="8">
        <v>0</v>
      </c>
      <c r="L47" s="8">
        <v>301938</v>
      </c>
      <c r="M47" s="8">
        <v>0</v>
      </c>
      <c r="N47" s="8">
        <v>0</v>
      </c>
      <c r="O47" s="8">
        <f>696780-301938</f>
        <v>394842</v>
      </c>
      <c r="P47" s="147">
        <f t="shared" si="10"/>
        <v>696780</v>
      </c>
    </row>
    <row r="48" spans="1:16" ht="31.2" x14ac:dyDescent="0.3">
      <c r="A48" s="595" t="s">
        <v>185</v>
      </c>
      <c r="B48" s="597" t="s">
        <v>186</v>
      </c>
      <c r="C48" s="597" t="s">
        <v>59</v>
      </c>
      <c r="D48" s="79" t="s">
        <v>187</v>
      </c>
      <c r="E48" s="122">
        <f t="shared" si="11"/>
        <v>4258888</v>
      </c>
      <c r="F48" s="122">
        <v>4258888</v>
      </c>
      <c r="G48" s="122">
        <v>3899966</v>
      </c>
      <c r="H48" s="122">
        <v>170008</v>
      </c>
      <c r="I48" s="8">
        <v>0</v>
      </c>
      <c r="J48" s="8">
        <v>0</v>
      </c>
      <c r="K48" s="8">
        <v>0</v>
      </c>
      <c r="L48" s="8">
        <v>0</v>
      </c>
      <c r="M48" s="8">
        <v>0</v>
      </c>
      <c r="N48" s="8">
        <v>0</v>
      </c>
      <c r="O48" s="8">
        <v>0</v>
      </c>
      <c r="P48" s="147">
        <f t="shared" si="10"/>
        <v>4258888</v>
      </c>
    </row>
    <row r="49" spans="1:16" x14ac:dyDescent="0.3">
      <c r="A49" s="595" t="s">
        <v>60</v>
      </c>
      <c r="B49" s="597" t="s">
        <v>61</v>
      </c>
      <c r="C49" s="597" t="s">
        <v>59</v>
      </c>
      <c r="D49" s="79" t="s">
        <v>62</v>
      </c>
      <c r="E49" s="122">
        <f t="shared" si="11"/>
        <v>14480</v>
      </c>
      <c r="F49" s="122">
        <v>14480</v>
      </c>
      <c r="G49" s="122">
        <v>0</v>
      </c>
      <c r="H49" s="122">
        <v>0</v>
      </c>
      <c r="I49" s="8">
        <v>0</v>
      </c>
      <c r="J49" s="8">
        <v>0</v>
      </c>
      <c r="K49" s="8">
        <v>0</v>
      </c>
      <c r="L49" s="8">
        <v>0</v>
      </c>
      <c r="M49" s="8">
        <v>0</v>
      </c>
      <c r="N49" s="8">
        <v>0</v>
      </c>
      <c r="O49" s="8">
        <v>0</v>
      </c>
      <c r="P49" s="147">
        <f t="shared" si="10"/>
        <v>14480</v>
      </c>
    </row>
    <row r="50" spans="1:16" ht="46.8" x14ac:dyDescent="0.3">
      <c r="A50" s="595" t="s">
        <v>63</v>
      </c>
      <c r="B50" s="597" t="s">
        <v>64</v>
      </c>
      <c r="C50" s="597" t="s">
        <v>59</v>
      </c>
      <c r="D50" s="79" t="s">
        <v>65</v>
      </c>
      <c r="E50" s="122">
        <f t="shared" si="11"/>
        <v>1188020</v>
      </c>
      <c r="F50" s="122">
        <f>1183561+4459</f>
        <v>1188020</v>
      </c>
      <c r="G50" s="122">
        <v>690594</v>
      </c>
      <c r="H50" s="122">
        <v>443408</v>
      </c>
      <c r="I50" s="8">
        <v>0</v>
      </c>
      <c r="J50" s="8">
        <v>0</v>
      </c>
      <c r="K50" s="8">
        <v>0</v>
      </c>
      <c r="L50" s="8">
        <v>0</v>
      </c>
      <c r="M50" s="8">
        <v>0</v>
      </c>
      <c r="N50" s="8">
        <v>0</v>
      </c>
      <c r="O50" s="8">
        <v>0</v>
      </c>
      <c r="P50" s="147">
        <f t="shared" si="10"/>
        <v>1188020</v>
      </c>
    </row>
    <row r="51" spans="1:16" ht="46.8" x14ac:dyDescent="0.3">
      <c r="A51" s="593" t="s">
        <v>274</v>
      </c>
      <c r="B51" s="594" t="s">
        <v>275</v>
      </c>
      <c r="C51" s="594" t="s">
        <v>59</v>
      </c>
      <c r="D51" s="32" t="s">
        <v>276</v>
      </c>
      <c r="E51" s="122">
        <f t="shared" si="11"/>
        <v>1766200</v>
      </c>
      <c r="F51" s="122">
        <v>1766200</v>
      </c>
      <c r="G51" s="122">
        <v>1766200</v>
      </c>
      <c r="H51" s="122"/>
      <c r="I51" s="8"/>
      <c r="J51" s="8"/>
      <c r="K51" s="8"/>
      <c r="L51" s="8"/>
      <c r="M51" s="8"/>
      <c r="N51" s="8"/>
      <c r="O51" s="8"/>
      <c r="P51" s="147">
        <f t="shared" si="10"/>
        <v>1766200</v>
      </c>
    </row>
    <row r="52" spans="1:16" ht="31.2" x14ac:dyDescent="0.3">
      <c r="A52" s="595" t="s">
        <v>66</v>
      </c>
      <c r="B52" s="597" t="s">
        <v>67</v>
      </c>
      <c r="C52" s="597" t="s">
        <v>59</v>
      </c>
      <c r="D52" s="79" t="s">
        <v>68</v>
      </c>
      <c r="E52" s="122">
        <f t="shared" si="11"/>
        <v>1558497</v>
      </c>
      <c r="F52" s="122">
        <v>1558497</v>
      </c>
      <c r="G52" s="122">
        <v>1452012</v>
      </c>
      <c r="H52" s="122">
        <v>38669</v>
      </c>
      <c r="I52" s="8">
        <v>0</v>
      </c>
      <c r="J52" s="8">
        <v>0</v>
      </c>
      <c r="K52" s="8">
        <v>0</v>
      </c>
      <c r="L52" s="8">
        <v>0</v>
      </c>
      <c r="M52" s="8">
        <v>0</v>
      </c>
      <c r="N52" s="8">
        <v>0</v>
      </c>
      <c r="O52" s="8">
        <v>0</v>
      </c>
      <c r="P52" s="147">
        <f t="shared" si="10"/>
        <v>1558497</v>
      </c>
    </row>
    <row r="53" spans="1:16" ht="78.599999999999994" thickBot="1" x14ac:dyDescent="0.35">
      <c r="A53" s="482" t="s">
        <v>612</v>
      </c>
      <c r="B53" s="17">
        <v>3140</v>
      </c>
      <c r="C53" s="17">
        <v>1040</v>
      </c>
      <c r="D53" s="79" t="s">
        <v>613</v>
      </c>
      <c r="E53" s="122">
        <f t="shared" si="11"/>
        <v>1300000</v>
      </c>
      <c r="F53" s="479">
        <v>1300000</v>
      </c>
      <c r="G53" s="479">
        <v>464878</v>
      </c>
      <c r="H53" s="479">
        <v>13770</v>
      </c>
      <c r="I53" s="480"/>
      <c r="J53" s="480"/>
      <c r="K53" s="480"/>
      <c r="L53" s="480"/>
      <c r="M53" s="480"/>
      <c r="N53" s="480"/>
      <c r="O53" s="480"/>
      <c r="P53" s="147">
        <f t="shared" si="10"/>
        <v>1300000</v>
      </c>
    </row>
    <row r="54" spans="1:16" ht="47.4" thickBot="1" x14ac:dyDescent="0.35">
      <c r="A54" s="114" t="s">
        <v>70</v>
      </c>
      <c r="B54" s="115" t="s">
        <v>16</v>
      </c>
      <c r="C54" s="115" t="s">
        <v>16</v>
      </c>
      <c r="D54" s="117" t="s">
        <v>71</v>
      </c>
      <c r="E54" s="144">
        <f>E55</f>
        <v>36096868</v>
      </c>
      <c r="F54" s="144">
        <f>F55</f>
        <v>36096868</v>
      </c>
      <c r="G54" s="144">
        <f t="shared" ref="G54:I54" si="13">G55</f>
        <v>16335238</v>
      </c>
      <c r="H54" s="144">
        <f t="shared" si="13"/>
        <v>365021</v>
      </c>
      <c r="I54" s="144">
        <f t="shared" si="13"/>
        <v>0</v>
      </c>
      <c r="J54" s="144">
        <f>J55</f>
        <v>139500</v>
      </c>
      <c r="K54" s="144">
        <f>K55</f>
        <v>126500</v>
      </c>
      <c r="L54" s="144">
        <f t="shared" ref="L54:O54" si="14">L55</f>
        <v>13000</v>
      </c>
      <c r="M54" s="144">
        <f t="shared" si="14"/>
        <v>0</v>
      </c>
      <c r="N54" s="144">
        <f t="shared" si="14"/>
        <v>0</v>
      </c>
      <c r="O54" s="144">
        <f t="shared" si="14"/>
        <v>126500</v>
      </c>
      <c r="P54" s="145">
        <f>E54+J54</f>
        <v>36236368</v>
      </c>
    </row>
    <row r="55" spans="1:16" ht="46.8" x14ac:dyDescent="0.3">
      <c r="A55" s="136" t="s">
        <v>72</v>
      </c>
      <c r="B55" s="137" t="s">
        <v>16</v>
      </c>
      <c r="C55" s="137" t="s">
        <v>16</v>
      </c>
      <c r="D55" s="138" t="s">
        <v>71</v>
      </c>
      <c r="E55" s="125">
        <f>E56+E57+E58+E59+E62+E64+E65+E60+E61+E63</f>
        <v>36096868</v>
      </c>
      <c r="F55" s="124">
        <f>F56+F57+F58+F59+F62+F64+F65+F60+F61+F63</f>
        <v>36096868</v>
      </c>
      <c r="G55" s="124">
        <f t="shared" ref="G55:I55" si="15">G56+G57+G58+G59+G62+G64+G65</f>
        <v>16335238</v>
      </c>
      <c r="H55" s="124">
        <f t="shared" si="15"/>
        <v>365021</v>
      </c>
      <c r="I55" s="124">
        <f t="shared" si="15"/>
        <v>0</v>
      </c>
      <c r="J55" s="125">
        <f>J56+J57+J58+J59+J62+J64+J65</f>
        <v>139500</v>
      </c>
      <c r="K55" s="124">
        <f>K56+K57+K58+K59+K62+K64+K65</f>
        <v>126500</v>
      </c>
      <c r="L55" s="124">
        <f t="shared" ref="L55:O55" si="16">L56+L57+L58+L59+L62+L64+L65</f>
        <v>13000</v>
      </c>
      <c r="M55" s="124">
        <f t="shared" si="16"/>
        <v>0</v>
      </c>
      <c r="N55" s="124">
        <f t="shared" si="16"/>
        <v>0</v>
      </c>
      <c r="O55" s="124">
        <f t="shared" si="16"/>
        <v>126500</v>
      </c>
      <c r="P55" s="146">
        <f>E55+J55</f>
        <v>36236368</v>
      </c>
    </row>
    <row r="56" spans="1:16" ht="46.8" x14ac:dyDescent="0.3">
      <c r="A56" s="595" t="s">
        <v>188</v>
      </c>
      <c r="B56" s="597" t="s">
        <v>46</v>
      </c>
      <c r="C56" s="597" t="s">
        <v>19</v>
      </c>
      <c r="D56" s="79" t="s">
        <v>182</v>
      </c>
      <c r="E56" s="122">
        <f>F56+I56</f>
        <v>6900686</v>
      </c>
      <c r="F56" s="122">
        <v>6900686</v>
      </c>
      <c r="G56" s="122">
        <v>6491282</v>
      </c>
      <c r="H56" s="122">
        <v>175849</v>
      </c>
      <c r="I56" s="8">
        <v>0</v>
      </c>
      <c r="J56" s="8">
        <f>L56+O56</f>
        <v>46000</v>
      </c>
      <c r="K56" s="8">
        <v>46000</v>
      </c>
      <c r="L56" s="8">
        <v>0</v>
      </c>
      <c r="M56" s="8">
        <v>0</v>
      </c>
      <c r="N56" s="8">
        <v>0</v>
      </c>
      <c r="O56" s="8">
        <v>46000</v>
      </c>
      <c r="P56" s="147">
        <f>E56+J56</f>
        <v>6946686</v>
      </c>
    </row>
    <row r="57" spans="1:16" ht="31.2" x14ac:dyDescent="0.3">
      <c r="A57" s="595" t="s">
        <v>73</v>
      </c>
      <c r="B57" s="597" t="s">
        <v>74</v>
      </c>
      <c r="C57" s="597" t="s">
        <v>75</v>
      </c>
      <c r="D57" s="79" t="s">
        <v>76</v>
      </c>
      <c r="E57" s="122">
        <f t="shared" ref="E57:E65" si="17">F57+I57</f>
        <v>12750</v>
      </c>
      <c r="F57" s="122">
        <v>12750</v>
      </c>
      <c r="G57" s="122">
        <v>0</v>
      </c>
      <c r="H57" s="122">
        <v>0</v>
      </c>
      <c r="I57" s="8">
        <v>0</v>
      </c>
      <c r="J57" s="8">
        <f t="shared" ref="J57:J64" si="18">L57+O57</f>
        <v>0</v>
      </c>
      <c r="K57" s="8">
        <v>0</v>
      </c>
      <c r="L57" s="8">
        <v>0</v>
      </c>
      <c r="M57" s="8">
        <v>0</v>
      </c>
      <c r="N57" s="8">
        <v>0</v>
      </c>
      <c r="O57" s="8">
        <v>0</v>
      </c>
      <c r="P57" s="147">
        <f t="shared" ref="P57:P127" si="19">E57+J57</f>
        <v>12750</v>
      </c>
    </row>
    <row r="58" spans="1:16" ht="31.2" x14ac:dyDescent="0.3">
      <c r="A58" s="595" t="s">
        <v>77</v>
      </c>
      <c r="B58" s="597" t="s">
        <v>78</v>
      </c>
      <c r="C58" s="597" t="s">
        <v>56</v>
      </c>
      <c r="D58" s="79" t="s">
        <v>79</v>
      </c>
      <c r="E58" s="122">
        <f t="shared" si="17"/>
        <v>8400</v>
      </c>
      <c r="F58" s="122">
        <v>8400</v>
      </c>
      <c r="G58" s="122">
        <v>0</v>
      </c>
      <c r="H58" s="122">
        <v>0</v>
      </c>
      <c r="I58" s="8">
        <v>0</v>
      </c>
      <c r="J58" s="8">
        <f t="shared" si="18"/>
        <v>0</v>
      </c>
      <c r="K58" s="8">
        <v>0</v>
      </c>
      <c r="L58" s="8">
        <v>0</v>
      </c>
      <c r="M58" s="8">
        <v>0</v>
      </c>
      <c r="N58" s="8">
        <v>0</v>
      </c>
      <c r="O58" s="8">
        <v>0</v>
      </c>
      <c r="P58" s="147">
        <f t="shared" si="19"/>
        <v>8400</v>
      </c>
    </row>
    <row r="59" spans="1:16" ht="31.2" x14ac:dyDescent="0.3">
      <c r="A59" s="595" t="s">
        <v>189</v>
      </c>
      <c r="B59" s="597" t="s">
        <v>190</v>
      </c>
      <c r="C59" s="597" t="s">
        <v>48</v>
      </c>
      <c r="D59" s="79" t="s">
        <v>191</v>
      </c>
      <c r="E59" s="122">
        <f t="shared" si="17"/>
        <v>4376131</v>
      </c>
      <c r="F59" s="122">
        <f>4324257+51874</f>
        <v>4376131</v>
      </c>
      <c r="G59" s="122">
        <v>4118841</v>
      </c>
      <c r="H59" s="122">
        <v>88416</v>
      </c>
      <c r="I59" s="8">
        <v>0</v>
      </c>
      <c r="J59" s="8">
        <f t="shared" si="18"/>
        <v>80500</v>
      </c>
      <c r="K59" s="8">
        <v>80500</v>
      </c>
      <c r="L59" s="8">
        <v>0</v>
      </c>
      <c r="M59" s="8">
        <v>0</v>
      </c>
      <c r="N59" s="8">
        <v>0</v>
      </c>
      <c r="O59" s="8">
        <v>80500</v>
      </c>
      <c r="P59" s="147">
        <f t="shared" si="19"/>
        <v>4456631</v>
      </c>
    </row>
    <row r="60" spans="1:16" ht="46.8" x14ac:dyDescent="0.3">
      <c r="A60" s="174" t="s">
        <v>277</v>
      </c>
      <c r="B60" s="94" t="s">
        <v>278</v>
      </c>
      <c r="C60" s="594" t="s">
        <v>56</v>
      </c>
      <c r="D60" s="32" t="s">
        <v>279</v>
      </c>
      <c r="E60" s="122">
        <f t="shared" si="17"/>
        <v>28193</v>
      </c>
      <c r="F60" s="122">
        <v>28193</v>
      </c>
      <c r="G60" s="122"/>
      <c r="H60" s="122"/>
      <c r="I60" s="8"/>
      <c r="J60" s="8"/>
      <c r="K60" s="8"/>
      <c r="L60" s="8"/>
      <c r="M60" s="8"/>
      <c r="N60" s="8"/>
      <c r="O60" s="8"/>
      <c r="P60" s="147">
        <f t="shared" si="19"/>
        <v>28193</v>
      </c>
    </row>
    <row r="61" spans="1:16" ht="31.2" x14ac:dyDescent="0.3">
      <c r="A61" s="174" t="s">
        <v>280</v>
      </c>
      <c r="B61" s="94" t="s">
        <v>281</v>
      </c>
      <c r="C61" s="94" t="s">
        <v>75</v>
      </c>
      <c r="D61" s="95" t="s">
        <v>282</v>
      </c>
      <c r="E61" s="122">
        <f t="shared" si="17"/>
        <v>91319</v>
      </c>
      <c r="F61" s="122">
        <v>91319</v>
      </c>
      <c r="G61" s="122"/>
      <c r="H61" s="122"/>
      <c r="I61" s="8"/>
      <c r="J61" s="8"/>
      <c r="K61" s="8"/>
      <c r="L61" s="8"/>
      <c r="M61" s="8"/>
      <c r="N61" s="8"/>
      <c r="O61" s="8"/>
      <c r="P61" s="147">
        <f t="shared" si="19"/>
        <v>91319</v>
      </c>
    </row>
    <row r="62" spans="1:16" ht="93.6" x14ac:dyDescent="0.3">
      <c r="A62" s="595" t="s">
        <v>192</v>
      </c>
      <c r="B62" s="597" t="s">
        <v>193</v>
      </c>
      <c r="C62" s="597" t="s">
        <v>48</v>
      </c>
      <c r="D62" s="79" t="s">
        <v>194</v>
      </c>
      <c r="E62" s="122">
        <f t="shared" si="17"/>
        <v>230280</v>
      </c>
      <c r="F62" s="122">
        <v>230280</v>
      </c>
      <c r="G62" s="122">
        <v>0</v>
      </c>
      <c r="H62" s="122">
        <v>0</v>
      </c>
      <c r="I62" s="8">
        <v>0</v>
      </c>
      <c r="J62" s="8">
        <f t="shared" si="18"/>
        <v>0</v>
      </c>
      <c r="K62" s="8">
        <v>0</v>
      </c>
      <c r="L62" s="8">
        <v>0</v>
      </c>
      <c r="M62" s="8">
        <v>0</v>
      </c>
      <c r="N62" s="8">
        <v>0</v>
      </c>
      <c r="O62" s="8">
        <v>0</v>
      </c>
      <c r="P62" s="147">
        <f t="shared" si="19"/>
        <v>230280</v>
      </c>
    </row>
    <row r="63" spans="1:16" ht="62.4" x14ac:dyDescent="0.3">
      <c r="A63" s="174" t="s">
        <v>283</v>
      </c>
      <c r="B63" s="94" t="s">
        <v>284</v>
      </c>
      <c r="C63" s="94" t="s">
        <v>48</v>
      </c>
      <c r="D63" s="175" t="s">
        <v>285</v>
      </c>
      <c r="E63" s="122">
        <f t="shared" si="17"/>
        <v>17623</v>
      </c>
      <c r="F63" s="122">
        <v>17623</v>
      </c>
      <c r="G63" s="122"/>
      <c r="H63" s="122"/>
      <c r="I63" s="8"/>
      <c r="J63" s="8"/>
      <c r="K63" s="8"/>
      <c r="L63" s="8"/>
      <c r="M63" s="8"/>
      <c r="N63" s="8"/>
      <c r="O63" s="8"/>
      <c r="P63" s="147">
        <f t="shared" si="19"/>
        <v>17623</v>
      </c>
    </row>
    <row r="64" spans="1:16" ht="46.8" x14ac:dyDescent="0.3">
      <c r="A64" s="595" t="s">
        <v>195</v>
      </c>
      <c r="B64" s="597" t="s">
        <v>196</v>
      </c>
      <c r="C64" s="597" t="s">
        <v>80</v>
      </c>
      <c r="D64" s="79" t="s">
        <v>197</v>
      </c>
      <c r="E64" s="122">
        <f t="shared" si="17"/>
        <v>6023586</v>
      </c>
      <c r="F64" s="122">
        <v>6023586</v>
      </c>
      <c r="G64" s="122">
        <v>5725115</v>
      </c>
      <c r="H64" s="122">
        <v>100756</v>
      </c>
      <c r="I64" s="8">
        <v>0</v>
      </c>
      <c r="J64" s="8">
        <f t="shared" si="18"/>
        <v>13000</v>
      </c>
      <c r="K64" s="8"/>
      <c r="L64" s="8">
        <v>13000</v>
      </c>
      <c r="M64" s="8">
        <v>0</v>
      </c>
      <c r="N64" s="8">
        <v>0</v>
      </c>
      <c r="O64" s="8"/>
      <c r="P64" s="147">
        <f>E64+J64</f>
        <v>6036586</v>
      </c>
    </row>
    <row r="65" spans="1:16" ht="31.8" thickBot="1" x14ac:dyDescent="0.35">
      <c r="A65" s="596" t="s">
        <v>81</v>
      </c>
      <c r="B65" s="598" t="s">
        <v>82</v>
      </c>
      <c r="C65" s="598" t="s">
        <v>80</v>
      </c>
      <c r="D65" s="121" t="s">
        <v>83</v>
      </c>
      <c r="E65" s="126">
        <f t="shared" si="17"/>
        <v>18407900</v>
      </c>
      <c r="F65" s="126">
        <v>18407900</v>
      </c>
      <c r="G65" s="126">
        <v>0</v>
      </c>
      <c r="H65" s="126">
        <v>0</v>
      </c>
      <c r="I65" s="91">
        <v>0</v>
      </c>
      <c r="J65" s="91">
        <f>L65+O65</f>
        <v>0</v>
      </c>
      <c r="K65" s="91">
        <v>0</v>
      </c>
      <c r="L65" s="91">
        <v>0</v>
      </c>
      <c r="M65" s="91">
        <v>0</v>
      </c>
      <c r="N65" s="91">
        <v>0</v>
      </c>
      <c r="O65" s="91">
        <v>0</v>
      </c>
      <c r="P65" s="149">
        <f t="shared" si="19"/>
        <v>18407900</v>
      </c>
    </row>
    <row r="66" spans="1:16" ht="51.6" customHeight="1" thickBot="1" x14ac:dyDescent="0.35">
      <c r="A66" s="114" t="s">
        <v>84</v>
      </c>
      <c r="B66" s="115" t="s">
        <v>16</v>
      </c>
      <c r="C66" s="115" t="s">
        <v>16</v>
      </c>
      <c r="D66" s="117" t="s">
        <v>85</v>
      </c>
      <c r="E66" s="144">
        <f>E67</f>
        <v>1570613</v>
      </c>
      <c r="F66" s="144">
        <f>F67</f>
        <v>1570613</v>
      </c>
      <c r="G66" s="144">
        <f t="shared" ref="G66:I66" si="20">G67</f>
        <v>1493301</v>
      </c>
      <c r="H66" s="144">
        <f t="shared" si="20"/>
        <v>0</v>
      </c>
      <c r="I66" s="144">
        <f t="shared" si="20"/>
        <v>0</v>
      </c>
      <c r="J66" s="144">
        <f>J67</f>
        <v>0</v>
      </c>
      <c r="K66" s="144">
        <f>K67</f>
        <v>0</v>
      </c>
      <c r="L66" s="144">
        <f t="shared" ref="L66:O66" si="21">L67</f>
        <v>0</v>
      </c>
      <c r="M66" s="144">
        <f t="shared" si="21"/>
        <v>0</v>
      </c>
      <c r="N66" s="144">
        <f t="shared" si="21"/>
        <v>0</v>
      </c>
      <c r="O66" s="144">
        <f t="shared" si="21"/>
        <v>0</v>
      </c>
      <c r="P66" s="145">
        <f t="shared" si="19"/>
        <v>1570613</v>
      </c>
    </row>
    <row r="67" spans="1:16" ht="31.2" x14ac:dyDescent="0.3">
      <c r="A67" s="136" t="s">
        <v>86</v>
      </c>
      <c r="B67" s="137" t="s">
        <v>16</v>
      </c>
      <c r="C67" s="137" t="s">
        <v>16</v>
      </c>
      <c r="D67" s="138" t="s">
        <v>85</v>
      </c>
      <c r="E67" s="124">
        <f>E68+E69</f>
        <v>1570613</v>
      </c>
      <c r="F67" s="124">
        <f>F68+F69</f>
        <v>1570613</v>
      </c>
      <c r="G67" s="124">
        <f t="shared" ref="G67:I67" si="22">G68+G69</f>
        <v>1493301</v>
      </c>
      <c r="H67" s="124">
        <f t="shared" si="22"/>
        <v>0</v>
      </c>
      <c r="I67" s="124">
        <f t="shared" si="22"/>
        <v>0</v>
      </c>
      <c r="J67" s="124">
        <f>J68+J69</f>
        <v>0</v>
      </c>
      <c r="K67" s="124">
        <f>K68+K69</f>
        <v>0</v>
      </c>
      <c r="L67" s="124">
        <f t="shared" ref="L67:O67" si="23">L68+L69</f>
        <v>0</v>
      </c>
      <c r="M67" s="124">
        <f t="shared" si="23"/>
        <v>0</v>
      </c>
      <c r="N67" s="124">
        <f t="shared" si="23"/>
        <v>0</v>
      </c>
      <c r="O67" s="124">
        <f t="shared" si="23"/>
        <v>0</v>
      </c>
      <c r="P67" s="146">
        <f t="shared" si="19"/>
        <v>1570613</v>
      </c>
    </row>
    <row r="68" spans="1:16" ht="46.8" x14ac:dyDescent="0.3">
      <c r="A68" s="595" t="s">
        <v>198</v>
      </c>
      <c r="B68" s="597" t="s">
        <v>46</v>
      </c>
      <c r="C68" s="597" t="s">
        <v>19</v>
      </c>
      <c r="D68" s="79" t="s">
        <v>182</v>
      </c>
      <c r="E68" s="122">
        <f>F68+I68</f>
        <v>1538613</v>
      </c>
      <c r="F68" s="122">
        <v>1538613</v>
      </c>
      <c r="G68" s="122">
        <v>1493301</v>
      </c>
      <c r="H68" s="122">
        <v>0</v>
      </c>
      <c r="I68" s="8">
        <v>0</v>
      </c>
      <c r="J68" s="8">
        <f>L68+O68</f>
        <v>0</v>
      </c>
      <c r="K68" s="8">
        <v>0</v>
      </c>
      <c r="L68" s="8">
        <v>0</v>
      </c>
      <c r="M68" s="8">
        <v>0</v>
      </c>
      <c r="N68" s="8">
        <v>0</v>
      </c>
      <c r="O68" s="8">
        <v>0</v>
      </c>
      <c r="P68" s="147">
        <f t="shared" si="19"/>
        <v>1538613</v>
      </c>
    </row>
    <row r="69" spans="1:16" ht="31.8" thickBot="1" x14ac:dyDescent="0.35">
      <c r="A69" s="119" t="s">
        <v>87</v>
      </c>
      <c r="B69" s="120" t="s">
        <v>88</v>
      </c>
      <c r="C69" s="120" t="s">
        <v>69</v>
      </c>
      <c r="D69" s="113" t="s">
        <v>89</v>
      </c>
      <c r="E69" s="122">
        <f>F69+I69</f>
        <v>32000</v>
      </c>
      <c r="F69" s="123">
        <v>32000</v>
      </c>
      <c r="G69" s="123">
        <v>0</v>
      </c>
      <c r="H69" s="123">
        <v>0</v>
      </c>
      <c r="I69" s="36">
        <v>0</v>
      </c>
      <c r="J69" s="36">
        <f>L69+O69</f>
        <v>0</v>
      </c>
      <c r="K69" s="36">
        <v>0</v>
      </c>
      <c r="L69" s="36">
        <v>0</v>
      </c>
      <c r="M69" s="36">
        <v>0</v>
      </c>
      <c r="N69" s="36">
        <v>0</v>
      </c>
      <c r="O69" s="36">
        <v>0</v>
      </c>
      <c r="P69" s="148">
        <f t="shared" si="19"/>
        <v>32000</v>
      </c>
    </row>
    <row r="70" spans="1:16" s="85" customFormat="1" ht="64.5" customHeight="1" thickBot="1" x14ac:dyDescent="0.35">
      <c r="A70" s="114" t="s">
        <v>90</v>
      </c>
      <c r="B70" s="115" t="s">
        <v>16</v>
      </c>
      <c r="C70" s="115" t="s">
        <v>16</v>
      </c>
      <c r="D70" s="117" t="s">
        <v>91</v>
      </c>
      <c r="E70" s="144">
        <f>E71</f>
        <v>89302720</v>
      </c>
      <c r="F70" s="144">
        <f>F71</f>
        <v>89302720</v>
      </c>
      <c r="G70" s="144">
        <f t="shared" ref="G70:I70" si="24">G71</f>
        <v>52652480</v>
      </c>
      <c r="H70" s="144">
        <f t="shared" si="24"/>
        <v>5548216</v>
      </c>
      <c r="I70" s="144">
        <f t="shared" si="24"/>
        <v>0</v>
      </c>
      <c r="J70" s="144">
        <f>J71</f>
        <v>1135071</v>
      </c>
      <c r="K70" s="144">
        <f>K71</f>
        <v>150299</v>
      </c>
      <c r="L70" s="144">
        <f t="shared" ref="L70:O70" si="25">L71</f>
        <v>984772</v>
      </c>
      <c r="M70" s="144">
        <f t="shared" si="25"/>
        <v>850986</v>
      </c>
      <c r="N70" s="144">
        <f t="shared" si="25"/>
        <v>0</v>
      </c>
      <c r="O70" s="144">
        <f t="shared" si="25"/>
        <v>150299</v>
      </c>
      <c r="P70" s="145">
        <f t="shared" si="19"/>
        <v>90437791</v>
      </c>
    </row>
    <row r="71" spans="1:16" s="84" customFormat="1" ht="46.8" x14ac:dyDescent="0.3">
      <c r="A71" s="136" t="s">
        <v>92</v>
      </c>
      <c r="B71" s="137" t="s">
        <v>16</v>
      </c>
      <c r="C71" s="137" t="s">
        <v>16</v>
      </c>
      <c r="D71" s="138" t="s">
        <v>91</v>
      </c>
      <c r="E71" s="124">
        <f>E72+E73+E74+E75+E76+E77+E78+E79+E80+E81+E82+E84+E85+E86+E83</f>
        <v>89302720</v>
      </c>
      <c r="F71" s="124">
        <f>F72+F73+F74+F75+F76+F77+F78+F79+F80+F81+F82+F84+F85+F86+F83</f>
        <v>89302720</v>
      </c>
      <c r="G71" s="124">
        <f>G72+G73+G74+G75+G76+G77+G78+G79+G80+G81+G82+G84+G85+G86+G83</f>
        <v>52652480</v>
      </c>
      <c r="H71" s="124">
        <f>H72+H73+H74+H75+H76+H77+H78+H79+H80+H81+H82+H84+H85+H86</f>
        <v>5548216</v>
      </c>
      <c r="I71" s="124">
        <f t="shared" ref="I71" si="26">I72+I73+I74+I75+I76+I77+I78+I79+I80+I81+I82+I84+I85+I86</f>
        <v>0</v>
      </c>
      <c r="J71" s="124">
        <f>J72+J73+J74+J75+J76+J77+J78+J79+J80+J81+J82+J84+J85+J86</f>
        <v>1135071</v>
      </c>
      <c r="K71" s="124">
        <f t="shared" ref="K71:L71" si="27">K72+K73+K74+K75+K76+K77+K78+K79+K80+K81+K82+K84+K85+K86</f>
        <v>150299</v>
      </c>
      <c r="L71" s="124">
        <f t="shared" si="27"/>
        <v>984772</v>
      </c>
      <c r="M71" s="124">
        <f>M72+M73+M74+M75+M76+M77+M78+M79+M80+M81+M82+M84+M85+M86</f>
        <v>850986</v>
      </c>
      <c r="N71" s="124">
        <f t="shared" ref="N71:O71" si="28">N72+N73+N74+N75+N76+N77+N78+N79+N80+N81+N82+N84+N85+N86</f>
        <v>0</v>
      </c>
      <c r="O71" s="124">
        <f t="shared" si="28"/>
        <v>150299</v>
      </c>
      <c r="P71" s="146">
        <f>P72+P73+P74+P75+P76+P77+P78+P79+P80+P81+P82+P84+P85+P86+P83</f>
        <v>90437791</v>
      </c>
    </row>
    <row r="72" spans="1:16" ht="60" customHeight="1" x14ac:dyDescent="0.3">
      <c r="A72" s="595" t="s">
        <v>199</v>
      </c>
      <c r="B72" s="597" t="s">
        <v>46</v>
      </c>
      <c r="C72" s="597" t="s">
        <v>19</v>
      </c>
      <c r="D72" s="79" t="s">
        <v>182</v>
      </c>
      <c r="E72" s="122">
        <f>F72+I72</f>
        <v>2310745</v>
      </c>
      <c r="F72" s="122">
        <v>2310745</v>
      </c>
      <c r="G72" s="122">
        <v>2259433</v>
      </c>
      <c r="H72" s="122">
        <v>0</v>
      </c>
      <c r="I72" s="8">
        <v>0</v>
      </c>
      <c r="J72" s="8">
        <f>L72+O72</f>
        <v>0</v>
      </c>
      <c r="K72" s="8">
        <v>0</v>
      </c>
      <c r="L72" s="8">
        <v>0</v>
      </c>
      <c r="M72" s="8">
        <v>0</v>
      </c>
      <c r="N72" s="8">
        <v>0</v>
      </c>
      <c r="O72" s="8">
        <v>0</v>
      </c>
      <c r="P72" s="147">
        <f t="shared" si="19"/>
        <v>2310745</v>
      </c>
    </row>
    <row r="73" spans="1:16" ht="31.2" x14ac:dyDescent="0.3">
      <c r="A73" s="595" t="s">
        <v>93</v>
      </c>
      <c r="B73" s="597" t="s">
        <v>94</v>
      </c>
      <c r="C73" s="597" t="s">
        <v>57</v>
      </c>
      <c r="D73" s="79" t="s">
        <v>95</v>
      </c>
      <c r="E73" s="122">
        <f t="shared" ref="E73:E86" si="29">F73+I73</f>
        <v>14795535</v>
      </c>
      <c r="F73" s="122">
        <v>14795535</v>
      </c>
      <c r="G73" s="122">
        <v>14259107</v>
      </c>
      <c r="H73" s="122">
        <v>410204</v>
      </c>
      <c r="I73" s="8">
        <v>0</v>
      </c>
      <c r="J73" s="8">
        <f t="shared" ref="J73:J86" si="30">L73+O73</f>
        <v>877986</v>
      </c>
      <c r="K73" s="8">
        <f>O73</f>
        <v>27000</v>
      </c>
      <c r="L73" s="8">
        <v>850986</v>
      </c>
      <c r="M73" s="8">
        <v>850986</v>
      </c>
      <c r="N73" s="8">
        <v>0</v>
      </c>
      <c r="O73" s="8">
        <v>27000</v>
      </c>
      <c r="P73" s="147">
        <f t="shared" si="19"/>
        <v>15673521</v>
      </c>
    </row>
    <row r="74" spans="1:16" x14ac:dyDescent="0.3">
      <c r="A74" s="595" t="s">
        <v>96</v>
      </c>
      <c r="B74" s="597" t="s">
        <v>97</v>
      </c>
      <c r="C74" s="597" t="s">
        <v>69</v>
      </c>
      <c r="D74" s="79" t="s">
        <v>98</v>
      </c>
      <c r="E74" s="122">
        <f t="shared" si="29"/>
        <v>240526</v>
      </c>
      <c r="F74" s="122">
        <v>240526</v>
      </c>
      <c r="G74" s="122">
        <v>0</v>
      </c>
      <c r="H74" s="122">
        <v>0</v>
      </c>
      <c r="I74" s="8">
        <v>0</v>
      </c>
      <c r="J74" s="8">
        <f t="shared" si="30"/>
        <v>0</v>
      </c>
      <c r="K74" s="8">
        <v>0</v>
      </c>
      <c r="L74" s="8">
        <v>0</v>
      </c>
      <c r="M74" s="8">
        <v>0</v>
      </c>
      <c r="N74" s="8">
        <v>0</v>
      </c>
      <c r="O74" s="8">
        <v>0</v>
      </c>
      <c r="P74" s="147">
        <f t="shared" si="19"/>
        <v>240526</v>
      </c>
    </row>
    <row r="75" spans="1:16" ht="21.75" customHeight="1" x14ac:dyDescent="0.3">
      <c r="A75" s="595" t="s">
        <v>99</v>
      </c>
      <c r="B75" s="597" t="s">
        <v>100</v>
      </c>
      <c r="C75" s="597" t="s">
        <v>101</v>
      </c>
      <c r="D75" s="79" t="s">
        <v>102</v>
      </c>
      <c r="E75" s="122">
        <f t="shared" si="29"/>
        <v>4760466</v>
      </c>
      <c r="F75" s="122">
        <v>4760466</v>
      </c>
      <c r="G75" s="122">
        <v>4315718</v>
      </c>
      <c r="H75" s="122">
        <v>246246</v>
      </c>
      <c r="I75" s="8">
        <v>0</v>
      </c>
      <c r="J75" s="8">
        <f t="shared" si="30"/>
        <v>50000</v>
      </c>
      <c r="K75" s="8">
        <f t="shared" ref="K75:K76" si="31">O75</f>
        <v>50000</v>
      </c>
      <c r="L75" s="8">
        <v>0</v>
      </c>
      <c r="M75" s="8">
        <v>0</v>
      </c>
      <c r="N75" s="8">
        <v>0</v>
      </c>
      <c r="O75" s="8">
        <v>50000</v>
      </c>
      <c r="P75" s="147">
        <f t="shared" si="19"/>
        <v>4810466</v>
      </c>
    </row>
    <row r="76" spans="1:16" ht="19.5" customHeight="1" x14ac:dyDescent="0.3">
      <c r="A76" s="595" t="s">
        <v>103</v>
      </c>
      <c r="B76" s="597" t="s">
        <v>104</v>
      </c>
      <c r="C76" s="597" t="s">
        <v>101</v>
      </c>
      <c r="D76" s="79" t="s">
        <v>105</v>
      </c>
      <c r="E76" s="122">
        <f t="shared" si="29"/>
        <v>1287949</v>
      </c>
      <c r="F76" s="122">
        <v>1287949</v>
      </c>
      <c r="G76" s="122">
        <v>1112147</v>
      </c>
      <c r="H76" s="122">
        <v>94304</v>
      </c>
      <c r="I76" s="8">
        <v>0</v>
      </c>
      <c r="J76" s="8">
        <f t="shared" si="30"/>
        <v>50299</v>
      </c>
      <c r="K76" s="8">
        <f t="shared" si="31"/>
        <v>50299</v>
      </c>
      <c r="L76" s="8">
        <v>0</v>
      </c>
      <c r="M76" s="8">
        <v>0</v>
      </c>
      <c r="N76" s="8">
        <v>0</v>
      </c>
      <c r="O76" s="8">
        <v>50299</v>
      </c>
      <c r="P76" s="147">
        <f t="shared" si="19"/>
        <v>1338248</v>
      </c>
    </row>
    <row r="77" spans="1:16" ht="45.75" customHeight="1" x14ac:dyDescent="0.3">
      <c r="A77" s="595" t="s">
        <v>106</v>
      </c>
      <c r="B77" s="597" t="s">
        <v>107</v>
      </c>
      <c r="C77" s="597" t="s">
        <v>108</v>
      </c>
      <c r="D77" s="79" t="s">
        <v>109</v>
      </c>
      <c r="E77" s="122">
        <f t="shared" si="29"/>
        <v>23936447</v>
      </c>
      <c r="F77" s="122">
        <f>23959997-23550</f>
        <v>23936447</v>
      </c>
      <c r="G77" s="122">
        <v>18713009</v>
      </c>
      <c r="H77" s="122">
        <f>4152748-23550</f>
        <v>4129198</v>
      </c>
      <c r="I77" s="8">
        <v>0</v>
      </c>
      <c r="J77" s="8">
        <f t="shared" si="30"/>
        <v>133786</v>
      </c>
      <c r="K77" s="8">
        <v>0</v>
      </c>
      <c r="L77" s="8">
        <v>133786</v>
      </c>
      <c r="M77" s="8">
        <v>0</v>
      </c>
      <c r="N77" s="8">
        <v>0</v>
      </c>
      <c r="O77" s="8">
        <v>0</v>
      </c>
      <c r="P77" s="147">
        <f t="shared" si="19"/>
        <v>24070233</v>
      </c>
    </row>
    <row r="78" spans="1:16" ht="31.2" x14ac:dyDescent="0.3">
      <c r="A78" s="595" t="s">
        <v>200</v>
      </c>
      <c r="B78" s="597" t="s">
        <v>201</v>
      </c>
      <c r="C78" s="597" t="s">
        <v>110</v>
      </c>
      <c r="D78" s="79" t="s">
        <v>202</v>
      </c>
      <c r="E78" s="122">
        <f t="shared" si="29"/>
        <v>1826056</v>
      </c>
      <c r="F78" s="122">
        <v>1826056</v>
      </c>
      <c r="G78" s="122">
        <v>1735698</v>
      </c>
      <c r="H78" s="122">
        <v>0</v>
      </c>
      <c r="I78" s="8">
        <v>0</v>
      </c>
      <c r="J78" s="8">
        <f t="shared" si="30"/>
        <v>23000</v>
      </c>
      <c r="K78" s="8">
        <f>O78</f>
        <v>23000</v>
      </c>
      <c r="L78" s="8">
        <v>0</v>
      </c>
      <c r="M78" s="8">
        <v>0</v>
      </c>
      <c r="N78" s="8">
        <v>0</v>
      </c>
      <c r="O78" s="8">
        <v>23000</v>
      </c>
      <c r="P78" s="147">
        <f t="shared" si="19"/>
        <v>1849056</v>
      </c>
    </row>
    <row r="79" spans="1:16" x14ac:dyDescent="0.3">
      <c r="A79" s="595" t="s">
        <v>111</v>
      </c>
      <c r="B79" s="597" t="s">
        <v>112</v>
      </c>
      <c r="C79" s="597" t="s">
        <v>110</v>
      </c>
      <c r="D79" s="79" t="s">
        <v>113</v>
      </c>
      <c r="E79" s="122">
        <f t="shared" si="29"/>
        <v>194000</v>
      </c>
      <c r="F79" s="122">
        <v>194000</v>
      </c>
      <c r="G79" s="122">
        <v>0</v>
      </c>
      <c r="H79" s="122">
        <v>0</v>
      </c>
      <c r="I79" s="8">
        <v>0</v>
      </c>
      <c r="J79" s="8">
        <f t="shared" si="30"/>
        <v>0</v>
      </c>
      <c r="K79" s="8">
        <v>0</v>
      </c>
      <c r="L79" s="8">
        <v>0</v>
      </c>
      <c r="M79" s="8">
        <v>0</v>
      </c>
      <c r="N79" s="8">
        <v>0</v>
      </c>
      <c r="O79" s="8">
        <v>0</v>
      </c>
      <c r="P79" s="147">
        <f t="shared" si="19"/>
        <v>194000</v>
      </c>
    </row>
    <row r="80" spans="1:16" ht="31.2" x14ac:dyDescent="0.3">
      <c r="A80" s="595" t="s">
        <v>114</v>
      </c>
      <c r="B80" s="597" t="s">
        <v>115</v>
      </c>
      <c r="C80" s="597" t="s">
        <v>116</v>
      </c>
      <c r="D80" s="79" t="s">
        <v>117</v>
      </c>
      <c r="E80" s="122">
        <f t="shared" si="29"/>
        <v>32750</v>
      </c>
      <c r="F80" s="122">
        <v>32750</v>
      </c>
      <c r="G80" s="122">
        <v>0</v>
      </c>
      <c r="H80" s="122">
        <v>0</v>
      </c>
      <c r="I80" s="8">
        <v>0</v>
      </c>
      <c r="J80" s="8">
        <f t="shared" si="30"/>
        <v>0</v>
      </c>
      <c r="K80" s="8">
        <v>0</v>
      </c>
      <c r="L80" s="8">
        <v>0</v>
      </c>
      <c r="M80" s="8">
        <v>0</v>
      </c>
      <c r="N80" s="8">
        <v>0</v>
      </c>
      <c r="O80" s="8">
        <v>0</v>
      </c>
      <c r="P80" s="147">
        <f t="shared" si="19"/>
        <v>32750</v>
      </c>
    </row>
    <row r="81" spans="1:16" ht="46.8" x14ac:dyDescent="0.3">
      <c r="A81" s="595" t="s">
        <v>118</v>
      </c>
      <c r="B81" s="597" t="s">
        <v>119</v>
      </c>
      <c r="C81" s="597" t="s">
        <v>116</v>
      </c>
      <c r="D81" s="79" t="s">
        <v>120</v>
      </c>
      <c r="E81" s="122">
        <f t="shared" si="29"/>
        <v>8670150</v>
      </c>
      <c r="F81" s="122">
        <f>8007751+500000+162399</f>
        <v>8670150</v>
      </c>
      <c r="G81" s="122">
        <v>6310703</v>
      </c>
      <c r="H81" s="122">
        <v>452628</v>
      </c>
      <c r="I81" s="8">
        <v>0</v>
      </c>
      <c r="J81" s="8">
        <f t="shared" si="30"/>
        <v>0</v>
      </c>
      <c r="K81" s="8">
        <v>0</v>
      </c>
      <c r="L81" s="8">
        <v>0</v>
      </c>
      <c r="M81" s="8">
        <v>0</v>
      </c>
      <c r="N81" s="8">
        <v>0</v>
      </c>
      <c r="O81" s="8">
        <v>0</v>
      </c>
      <c r="P81" s="147">
        <f t="shared" si="19"/>
        <v>8670150</v>
      </c>
    </row>
    <row r="82" spans="1:16" ht="31.2" x14ac:dyDescent="0.3">
      <c r="A82" s="595" t="s">
        <v>203</v>
      </c>
      <c r="B82" s="597" t="s">
        <v>204</v>
      </c>
      <c r="C82" s="597" t="s">
        <v>116</v>
      </c>
      <c r="D82" s="79" t="s">
        <v>161</v>
      </c>
      <c r="E82" s="122">
        <f t="shared" si="29"/>
        <v>25268036</v>
      </c>
      <c r="F82" s="122">
        <v>25268036</v>
      </c>
      <c r="G82" s="122">
        <v>0</v>
      </c>
      <c r="H82" s="122">
        <v>0</v>
      </c>
      <c r="I82" s="8">
        <v>0</v>
      </c>
      <c r="J82" s="8">
        <f t="shared" si="30"/>
        <v>0</v>
      </c>
      <c r="K82" s="8">
        <v>0</v>
      </c>
      <c r="L82" s="8">
        <v>0</v>
      </c>
      <c r="M82" s="8">
        <v>0</v>
      </c>
      <c r="N82" s="8">
        <v>0</v>
      </c>
      <c r="O82" s="8">
        <v>0</v>
      </c>
      <c r="P82" s="147">
        <f t="shared" si="19"/>
        <v>25268036</v>
      </c>
    </row>
    <row r="83" spans="1:16" ht="46.8" x14ac:dyDescent="0.3">
      <c r="A83" s="603">
        <v>1015049</v>
      </c>
      <c r="B83" s="604">
        <v>5049</v>
      </c>
      <c r="C83" s="142" t="s">
        <v>116</v>
      </c>
      <c r="D83" s="79" t="s">
        <v>614</v>
      </c>
      <c r="E83" s="122">
        <f t="shared" si="29"/>
        <v>166311</v>
      </c>
      <c r="F83" s="122">
        <v>166311</v>
      </c>
      <c r="G83" s="122">
        <v>166311</v>
      </c>
      <c r="H83" s="122"/>
      <c r="I83" s="8"/>
      <c r="J83" s="8"/>
      <c r="K83" s="8"/>
      <c r="L83" s="8"/>
      <c r="M83" s="8"/>
      <c r="N83" s="8"/>
      <c r="O83" s="8"/>
      <c r="P83" s="147">
        <f t="shared" si="19"/>
        <v>166311</v>
      </c>
    </row>
    <row r="84" spans="1:16" ht="79.5" customHeight="1" x14ac:dyDescent="0.3">
      <c r="A84" s="595" t="s">
        <v>121</v>
      </c>
      <c r="B84" s="597" t="s">
        <v>122</v>
      </c>
      <c r="C84" s="597" t="s">
        <v>116</v>
      </c>
      <c r="D84" s="79" t="s">
        <v>123</v>
      </c>
      <c r="E84" s="122">
        <f t="shared" si="29"/>
        <v>5273449</v>
      </c>
      <c r="F84" s="122">
        <f>5129899+143550</f>
        <v>5273449</v>
      </c>
      <c r="G84" s="122">
        <v>3780354</v>
      </c>
      <c r="H84" s="122">
        <v>114836</v>
      </c>
      <c r="I84" s="8">
        <v>0</v>
      </c>
      <c r="J84" s="8">
        <f t="shared" si="30"/>
        <v>0</v>
      </c>
      <c r="K84" s="8">
        <v>0</v>
      </c>
      <c r="L84" s="8">
        <v>0</v>
      </c>
      <c r="M84" s="8">
        <v>0</v>
      </c>
      <c r="N84" s="8">
        <v>0</v>
      </c>
      <c r="O84" s="8">
        <v>0</v>
      </c>
      <c r="P84" s="147">
        <f t="shared" si="19"/>
        <v>5273449</v>
      </c>
    </row>
    <row r="85" spans="1:16" ht="57" customHeight="1" thickBot="1" x14ac:dyDescent="0.35">
      <c r="A85" s="596" t="s">
        <v>124</v>
      </c>
      <c r="B85" s="598" t="s">
        <v>125</v>
      </c>
      <c r="C85" s="598" t="s">
        <v>116</v>
      </c>
      <c r="D85" s="121" t="s">
        <v>126</v>
      </c>
      <c r="E85" s="126">
        <f t="shared" si="29"/>
        <v>438000</v>
      </c>
      <c r="F85" s="126">
        <f>558000-120000</f>
        <v>438000</v>
      </c>
      <c r="G85" s="126">
        <v>0</v>
      </c>
      <c r="H85" s="126">
        <v>0</v>
      </c>
      <c r="I85" s="91">
        <v>0</v>
      </c>
      <c r="J85" s="91">
        <f t="shared" si="30"/>
        <v>0</v>
      </c>
      <c r="K85" s="91">
        <v>0</v>
      </c>
      <c r="L85" s="91">
        <v>0</v>
      </c>
      <c r="M85" s="91">
        <v>0</v>
      </c>
      <c r="N85" s="91">
        <v>0</v>
      </c>
      <c r="O85" s="91">
        <v>0</v>
      </c>
      <c r="P85" s="149">
        <f t="shared" si="19"/>
        <v>438000</v>
      </c>
    </row>
    <row r="86" spans="1:16" ht="47.4" thickBot="1" x14ac:dyDescent="0.35">
      <c r="A86" s="150">
        <v>1018110</v>
      </c>
      <c r="B86" s="151">
        <v>8110</v>
      </c>
      <c r="C86" s="152" t="s">
        <v>245</v>
      </c>
      <c r="D86" s="153" t="s">
        <v>246</v>
      </c>
      <c r="E86" s="126">
        <f t="shared" si="29"/>
        <v>102300</v>
      </c>
      <c r="F86" s="126">
        <f>102300-100800+100800</f>
        <v>102300</v>
      </c>
      <c r="G86" s="126">
        <v>0</v>
      </c>
      <c r="H86" s="126">
        <v>100800</v>
      </c>
      <c r="I86" s="91">
        <v>0</v>
      </c>
      <c r="J86" s="91">
        <f t="shared" si="30"/>
        <v>0</v>
      </c>
      <c r="K86" s="91">
        <v>0</v>
      </c>
      <c r="L86" s="91">
        <v>0</v>
      </c>
      <c r="M86" s="91">
        <v>0</v>
      </c>
      <c r="N86" s="91">
        <v>0</v>
      </c>
      <c r="O86" s="91">
        <v>0</v>
      </c>
      <c r="P86" s="149">
        <f t="shared" si="19"/>
        <v>102300</v>
      </c>
    </row>
    <row r="87" spans="1:16" s="85" customFormat="1" ht="47.4" thickBot="1" x14ac:dyDescent="0.35">
      <c r="A87" s="114" t="s">
        <v>127</v>
      </c>
      <c r="B87" s="115" t="s">
        <v>16</v>
      </c>
      <c r="C87" s="115" t="s">
        <v>16</v>
      </c>
      <c r="D87" s="117" t="s">
        <v>128</v>
      </c>
      <c r="E87" s="144">
        <f>E88</f>
        <v>63347532</v>
      </c>
      <c r="F87" s="144">
        <f>F88</f>
        <v>63347532</v>
      </c>
      <c r="G87" s="144">
        <f t="shared" ref="G87:I87" si="32">G88</f>
        <v>3266584</v>
      </c>
      <c r="H87" s="144">
        <f t="shared" si="32"/>
        <v>0</v>
      </c>
      <c r="I87" s="144">
        <f t="shared" si="32"/>
        <v>0</v>
      </c>
      <c r="J87" s="23">
        <f>J88</f>
        <v>382600</v>
      </c>
      <c r="K87" s="144">
        <f t="shared" ref="K87:O87" si="33">K88</f>
        <v>23000</v>
      </c>
      <c r="L87" s="144">
        <f t="shared" si="33"/>
        <v>264650</v>
      </c>
      <c r="M87" s="144">
        <f t="shared" si="33"/>
        <v>0</v>
      </c>
      <c r="N87" s="144">
        <f t="shared" si="33"/>
        <v>0</v>
      </c>
      <c r="O87" s="144">
        <f t="shared" si="33"/>
        <v>117950</v>
      </c>
      <c r="P87" s="145">
        <f>E87+J87</f>
        <v>63730132</v>
      </c>
    </row>
    <row r="88" spans="1:16" s="84" customFormat="1" ht="46.5" customHeight="1" x14ac:dyDescent="0.3">
      <c r="A88" s="136" t="s">
        <v>129</v>
      </c>
      <c r="B88" s="137" t="s">
        <v>16</v>
      </c>
      <c r="C88" s="137" t="s">
        <v>16</v>
      </c>
      <c r="D88" s="138" t="s">
        <v>128</v>
      </c>
      <c r="E88" s="124">
        <f>E89+E90+E92+E93+E94+E95+E97+E91+E96</f>
        <v>63347532</v>
      </c>
      <c r="F88" s="124">
        <f>F89+F90+F92+F93+F94+F95+F97+F91+F96</f>
        <v>63347532</v>
      </c>
      <c r="G88" s="124">
        <f t="shared" ref="G88:N88" si="34">G89+G90+G92+G93+G95+G97+G91</f>
        <v>3266584</v>
      </c>
      <c r="H88" s="124">
        <f t="shared" si="34"/>
        <v>0</v>
      </c>
      <c r="I88" s="124">
        <f t="shared" si="34"/>
        <v>0</v>
      </c>
      <c r="J88" s="124">
        <f t="shared" si="34"/>
        <v>382600</v>
      </c>
      <c r="K88" s="124">
        <f t="shared" si="34"/>
        <v>23000</v>
      </c>
      <c r="L88" s="124">
        <f t="shared" si="34"/>
        <v>264650</v>
      </c>
      <c r="M88" s="124">
        <f t="shared" si="34"/>
        <v>0</v>
      </c>
      <c r="N88" s="124">
        <f t="shared" si="34"/>
        <v>0</v>
      </c>
      <c r="O88" s="124">
        <f>O89+O90+O92+O93+O95+O97+O91</f>
        <v>117950</v>
      </c>
      <c r="P88" s="146">
        <f>P89+P90+P92+P93+P94+P95+P97+P91+P96</f>
        <v>63730132</v>
      </c>
    </row>
    <row r="89" spans="1:16" ht="46.8" x14ac:dyDescent="0.3">
      <c r="A89" s="595" t="s">
        <v>130</v>
      </c>
      <c r="B89" s="597" t="s">
        <v>46</v>
      </c>
      <c r="C89" s="597" t="s">
        <v>19</v>
      </c>
      <c r="D89" s="79" t="s">
        <v>182</v>
      </c>
      <c r="E89" s="122">
        <f>F89</f>
        <v>3359091</v>
      </c>
      <c r="F89" s="122">
        <v>3359091</v>
      </c>
      <c r="G89" s="122">
        <v>3266584</v>
      </c>
      <c r="H89" s="122">
        <v>0</v>
      </c>
      <c r="I89" s="8">
        <v>0</v>
      </c>
      <c r="J89" s="8">
        <f>L89+O89</f>
        <v>23000</v>
      </c>
      <c r="K89" s="8">
        <f>O89</f>
        <v>23000</v>
      </c>
      <c r="L89" s="8">
        <v>0</v>
      </c>
      <c r="M89" s="8">
        <v>0</v>
      </c>
      <c r="N89" s="8">
        <v>0</v>
      </c>
      <c r="O89" s="8">
        <v>23000</v>
      </c>
      <c r="P89" s="147">
        <f t="shared" si="19"/>
        <v>3382091</v>
      </c>
    </row>
    <row r="90" spans="1:16" x14ac:dyDescent="0.3">
      <c r="A90" s="595" t="s">
        <v>131</v>
      </c>
      <c r="B90" s="597" t="s">
        <v>132</v>
      </c>
      <c r="C90" s="597" t="s">
        <v>133</v>
      </c>
      <c r="D90" s="79" t="s">
        <v>134</v>
      </c>
      <c r="E90" s="122">
        <f t="shared" ref="E90:E97" si="35">F90</f>
        <v>8474</v>
      </c>
      <c r="F90" s="122">
        <v>8474</v>
      </c>
      <c r="G90" s="122">
        <v>0</v>
      </c>
      <c r="H90" s="122">
        <v>0</v>
      </c>
      <c r="I90" s="8">
        <v>0</v>
      </c>
      <c r="J90" s="8">
        <f t="shared" ref="J90:J95" si="36">L90+O90</f>
        <v>0</v>
      </c>
      <c r="K90" s="8">
        <v>0</v>
      </c>
      <c r="L90" s="8">
        <v>0</v>
      </c>
      <c r="M90" s="8">
        <v>0</v>
      </c>
      <c r="N90" s="8">
        <v>0</v>
      </c>
      <c r="O90" s="8">
        <v>0</v>
      </c>
      <c r="P90" s="147">
        <f t="shared" si="19"/>
        <v>8474</v>
      </c>
    </row>
    <row r="91" spans="1:16" ht="31.2" x14ac:dyDescent="0.3">
      <c r="A91" s="595">
        <v>1216012</v>
      </c>
      <c r="B91" s="597">
        <v>6012</v>
      </c>
      <c r="C91" s="142" t="s">
        <v>29</v>
      </c>
      <c r="D91" s="79" t="s">
        <v>253</v>
      </c>
      <c r="E91" s="122">
        <f t="shared" si="35"/>
        <v>5671150</v>
      </c>
      <c r="F91" s="122">
        <f>13000000-7328850</f>
        <v>5671150</v>
      </c>
      <c r="G91" s="122">
        <v>0</v>
      </c>
      <c r="H91" s="122">
        <v>0</v>
      </c>
      <c r="I91" s="8">
        <v>0</v>
      </c>
      <c r="J91" s="8">
        <f t="shared" si="36"/>
        <v>0</v>
      </c>
      <c r="K91" s="8">
        <v>0</v>
      </c>
      <c r="L91" s="8">
        <v>0</v>
      </c>
      <c r="M91" s="8">
        <v>0</v>
      </c>
      <c r="N91" s="8">
        <v>0</v>
      </c>
      <c r="O91" s="8">
        <v>0</v>
      </c>
      <c r="P91" s="147">
        <f t="shared" si="19"/>
        <v>5671150</v>
      </c>
    </row>
    <row r="92" spans="1:16" ht="31.2" x14ac:dyDescent="0.3">
      <c r="A92" s="595" t="s">
        <v>135</v>
      </c>
      <c r="B92" s="597" t="s">
        <v>136</v>
      </c>
      <c r="C92" s="597" t="s">
        <v>29</v>
      </c>
      <c r="D92" s="79" t="s">
        <v>137</v>
      </c>
      <c r="E92" s="122">
        <f t="shared" si="35"/>
        <v>1231641</v>
      </c>
      <c r="F92" s="122">
        <v>1231641</v>
      </c>
      <c r="G92" s="122">
        <v>0</v>
      </c>
      <c r="H92" s="122">
        <v>0</v>
      </c>
      <c r="I92" s="8">
        <v>0</v>
      </c>
      <c r="J92" s="8">
        <f t="shared" si="36"/>
        <v>0</v>
      </c>
      <c r="K92" s="8">
        <v>0</v>
      </c>
      <c r="L92" s="8">
        <v>0</v>
      </c>
      <c r="M92" s="8">
        <v>0</v>
      </c>
      <c r="N92" s="8">
        <v>0</v>
      </c>
      <c r="O92" s="8">
        <v>0</v>
      </c>
      <c r="P92" s="147">
        <f t="shared" si="19"/>
        <v>1231641</v>
      </c>
    </row>
    <row r="93" spans="1:16" ht="34.200000000000003" customHeight="1" x14ac:dyDescent="0.3">
      <c r="A93" s="595" t="s">
        <v>138</v>
      </c>
      <c r="B93" s="597" t="s">
        <v>28</v>
      </c>
      <c r="C93" s="597" t="s">
        <v>29</v>
      </c>
      <c r="D93" s="79" t="s">
        <v>30</v>
      </c>
      <c r="E93" s="122">
        <f t="shared" si="35"/>
        <v>41839117</v>
      </c>
      <c r="F93" s="122">
        <f>35374609+45564+6418944</f>
        <v>41839117</v>
      </c>
      <c r="G93" s="122">
        <v>0</v>
      </c>
      <c r="H93" s="122">
        <v>0</v>
      </c>
      <c r="I93" s="8">
        <v>0</v>
      </c>
      <c r="J93" s="8">
        <f t="shared" si="36"/>
        <v>0</v>
      </c>
      <c r="K93" s="8">
        <v>0</v>
      </c>
      <c r="L93" s="8">
        <v>0</v>
      </c>
      <c r="M93" s="8">
        <v>0</v>
      </c>
      <c r="N93" s="8">
        <v>0</v>
      </c>
      <c r="O93" s="8">
        <v>0</v>
      </c>
      <c r="P93" s="147">
        <f t="shared" si="19"/>
        <v>41839117</v>
      </c>
    </row>
    <row r="94" spans="1:16" ht="154.19999999999999" customHeight="1" x14ac:dyDescent="0.3">
      <c r="A94" s="595">
        <v>1216071</v>
      </c>
      <c r="B94" s="597">
        <v>6071</v>
      </c>
      <c r="C94" s="142" t="s">
        <v>291</v>
      </c>
      <c r="D94" s="79" t="s">
        <v>289</v>
      </c>
      <c r="E94" s="122">
        <f t="shared" si="35"/>
        <v>7328850</v>
      </c>
      <c r="F94" s="122">
        <f>7328850</f>
        <v>7328850</v>
      </c>
      <c r="G94" s="122">
        <f>-H94</f>
        <v>0</v>
      </c>
      <c r="H94" s="122">
        <v>0</v>
      </c>
      <c r="I94" s="8">
        <v>0</v>
      </c>
      <c r="J94" s="8">
        <f t="shared" si="36"/>
        <v>0</v>
      </c>
      <c r="K94" s="8">
        <v>0</v>
      </c>
      <c r="L94" s="8">
        <v>0</v>
      </c>
      <c r="M94" s="8">
        <v>0</v>
      </c>
      <c r="N94" s="8">
        <v>0</v>
      </c>
      <c r="O94" s="8">
        <v>0</v>
      </c>
      <c r="P94" s="147">
        <f t="shared" si="19"/>
        <v>7328850</v>
      </c>
    </row>
    <row r="95" spans="1:16" ht="55.2" customHeight="1" x14ac:dyDescent="0.3">
      <c r="A95" s="595" t="s">
        <v>139</v>
      </c>
      <c r="B95" s="597" t="s">
        <v>140</v>
      </c>
      <c r="C95" s="597" t="s">
        <v>141</v>
      </c>
      <c r="D95" s="79" t="s">
        <v>142</v>
      </c>
      <c r="E95" s="122">
        <f t="shared" si="35"/>
        <v>2633948</v>
      </c>
      <c r="F95" s="122">
        <f>2286103+347845</f>
        <v>2633948</v>
      </c>
      <c r="G95" s="122">
        <v>0</v>
      </c>
      <c r="H95" s="122">
        <v>0</v>
      </c>
      <c r="I95" s="8">
        <v>0</v>
      </c>
      <c r="J95" s="8">
        <f t="shared" si="36"/>
        <v>0</v>
      </c>
      <c r="K95" s="8">
        <v>0</v>
      </c>
      <c r="L95" s="8">
        <v>0</v>
      </c>
      <c r="M95" s="8">
        <v>0</v>
      </c>
      <c r="N95" s="8">
        <v>0</v>
      </c>
      <c r="O95" s="8">
        <v>0</v>
      </c>
      <c r="P95" s="147">
        <f t="shared" si="19"/>
        <v>2633948</v>
      </c>
    </row>
    <row r="96" spans="1:16" ht="45.75" customHeight="1" x14ac:dyDescent="0.3">
      <c r="A96" s="119">
        <v>1217693</v>
      </c>
      <c r="B96" s="120">
        <v>7693</v>
      </c>
      <c r="C96" s="338" t="s">
        <v>178</v>
      </c>
      <c r="D96" s="103" t="s">
        <v>500</v>
      </c>
      <c r="E96" s="123">
        <f t="shared" si="35"/>
        <v>1275261</v>
      </c>
      <c r="F96" s="123">
        <f>1236594+38667</f>
        <v>1275261</v>
      </c>
      <c r="G96" s="123"/>
      <c r="H96" s="123"/>
      <c r="I96" s="36"/>
      <c r="J96" s="8"/>
      <c r="K96" s="36"/>
      <c r="L96" s="36"/>
      <c r="M96" s="36"/>
      <c r="N96" s="36"/>
      <c r="O96" s="36"/>
      <c r="P96" s="147">
        <f t="shared" si="19"/>
        <v>1275261</v>
      </c>
    </row>
    <row r="97" spans="1:16" ht="40.950000000000003" customHeight="1" thickBot="1" x14ac:dyDescent="0.35">
      <c r="A97" s="119" t="s">
        <v>143</v>
      </c>
      <c r="B97" s="120" t="s">
        <v>144</v>
      </c>
      <c r="C97" s="120" t="s">
        <v>145</v>
      </c>
      <c r="D97" s="113" t="s">
        <v>146</v>
      </c>
      <c r="E97" s="123">
        <f t="shared" si="35"/>
        <v>0</v>
      </c>
      <c r="F97" s="123">
        <v>0</v>
      </c>
      <c r="G97" s="123">
        <v>0</v>
      </c>
      <c r="H97" s="123">
        <v>0</v>
      </c>
      <c r="I97" s="36">
        <v>0</v>
      </c>
      <c r="J97" s="8">
        <f>L97+O97</f>
        <v>359600</v>
      </c>
      <c r="K97" s="36">
        <v>0</v>
      </c>
      <c r="L97" s="36">
        <v>264650</v>
      </c>
      <c r="M97" s="36">
        <v>0</v>
      </c>
      <c r="N97" s="36">
        <v>0</v>
      </c>
      <c r="O97" s="36">
        <v>94950</v>
      </c>
      <c r="P97" s="148">
        <f t="shared" si="19"/>
        <v>359600</v>
      </c>
    </row>
    <row r="98" spans="1:16" s="85" customFormat="1" ht="49.5" customHeight="1" thickBot="1" x14ac:dyDescent="0.35">
      <c r="A98" s="114" t="s">
        <v>147</v>
      </c>
      <c r="B98" s="115" t="s">
        <v>16</v>
      </c>
      <c r="C98" s="115" t="s">
        <v>16</v>
      </c>
      <c r="D98" s="117" t="s">
        <v>148</v>
      </c>
      <c r="E98" s="144">
        <f>E99</f>
        <v>2852158</v>
      </c>
      <c r="F98" s="144">
        <f>E98</f>
        <v>2852158</v>
      </c>
      <c r="G98" s="144">
        <f>G99</f>
        <v>2646790</v>
      </c>
      <c r="H98" s="144">
        <f t="shared" ref="H98:I98" si="37">H99</f>
        <v>91053</v>
      </c>
      <c r="I98" s="144">
        <f t="shared" si="37"/>
        <v>0</v>
      </c>
      <c r="J98" s="144">
        <f>J99</f>
        <v>64473419</v>
      </c>
      <c r="K98" s="144">
        <f>K99</f>
        <v>64473419</v>
      </c>
      <c r="L98" s="144">
        <f t="shared" ref="L98:O98" si="38">L99</f>
        <v>0</v>
      </c>
      <c r="M98" s="144">
        <f t="shared" si="38"/>
        <v>0</v>
      </c>
      <c r="N98" s="144">
        <f t="shared" si="38"/>
        <v>0</v>
      </c>
      <c r="O98" s="144">
        <f t="shared" si="38"/>
        <v>64473419</v>
      </c>
      <c r="P98" s="145">
        <f>E98+J98</f>
        <v>67325577</v>
      </c>
    </row>
    <row r="99" spans="1:16" s="84" customFormat="1" ht="46.8" x14ac:dyDescent="0.3">
      <c r="A99" s="136" t="s">
        <v>149</v>
      </c>
      <c r="B99" s="137" t="s">
        <v>16</v>
      </c>
      <c r="C99" s="137" t="s">
        <v>16</v>
      </c>
      <c r="D99" s="138" t="s">
        <v>148</v>
      </c>
      <c r="E99" s="124">
        <f>E100+E103+E104+E105</f>
        <v>2852158</v>
      </c>
      <c r="F99" s="124">
        <f t="shared" ref="F99:I99" si="39">F100+F103+F104+F105</f>
        <v>2852158</v>
      </c>
      <c r="G99" s="124">
        <f t="shared" si="39"/>
        <v>2646790</v>
      </c>
      <c r="H99" s="124">
        <f t="shared" si="39"/>
        <v>91053</v>
      </c>
      <c r="I99" s="124">
        <f t="shared" si="39"/>
        <v>0</v>
      </c>
      <c r="J99" s="124">
        <f>J100+J103+J104+J105+J106+J101+J108+J109+J102+J107+J110</f>
        <v>64473419</v>
      </c>
      <c r="K99" s="124">
        <f>K100+K103+K104+K105+K106+K101+K108+K109+K102+K107+K110</f>
        <v>64473419</v>
      </c>
      <c r="L99" s="124">
        <f>L100+L103+L104+L105</f>
        <v>0</v>
      </c>
      <c r="M99" s="124">
        <f>M100+M103+M104+M105</f>
        <v>0</v>
      </c>
      <c r="N99" s="124">
        <f>N100+N103+N104+N105</f>
        <v>0</v>
      </c>
      <c r="O99" s="124">
        <f>O100+O101+O103+O104+O105+O106+O108+O109+O102+O107+O110</f>
        <v>64473419</v>
      </c>
      <c r="P99" s="146">
        <f>E99+J99</f>
        <v>67325577</v>
      </c>
    </row>
    <row r="100" spans="1:16" ht="46.8" x14ac:dyDescent="0.3">
      <c r="A100" s="595" t="s">
        <v>205</v>
      </c>
      <c r="B100" s="597" t="s">
        <v>46</v>
      </c>
      <c r="C100" s="597" t="s">
        <v>19</v>
      </c>
      <c r="D100" s="79" t="s">
        <v>182</v>
      </c>
      <c r="E100" s="122">
        <f>F100+I100</f>
        <v>2852158</v>
      </c>
      <c r="F100" s="122">
        <f>2834288+17870</f>
        <v>2852158</v>
      </c>
      <c r="G100" s="122">
        <v>2646790</v>
      </c>
      <c r="H100" s="122">
        <v>91053</v>
      </c>
      <c r="I100" s="8">
        <v>0</v>
      </c>
      <c r="J100" s="8">
        <f>L100+O100</f>
        <v>0</v>
      </c>
      <c r="K100" s="8">
        <v>0</v>
      </c>
      <c r="L100" s="8">
        <v>0</v>
      </c>
      <c r="M100" s="8">
        <v>0</v>
      </c>
      <c r="N100" s="8">
        <v>0</v>
      </c>
      <c r="O100" s="8">
        <v>0</v>
      </c>
      <c r="P100" s="147">
        <f>E100+J100</f>
        <v>2852158</v>
      </c>
    </row>
    <row r="101" spans="1:16" ht="46.8" x14ac:dyDescent="0.3">
      <c r="A101" s="595">
        <v>1511021</v>
      </c>
      <c r="B101" s="597">
        <v>1021</v>
      </c>
      <c r="C101" s="142" t="s">
        <v>53</v>
      </c>
      <c r="D101" s="79" t="s">
        <v>498</v>
      </c>
      <c r="E101" s="122"/>
      <c r="F101" s="122"/>
      <c r="G101" s="122"/>
      <c r="H101" s="122"/>
      <c r="I101" s="8"/>
      <c r="J101" s="8">
        <f>L101+O101</f>
        <v>29279494</v>
      </c>
      <c r="K101" s="8">
        <f>O101</f>
        <v>29279494</v>
      </c>
      <c r="L101" s="8"/>
      <c r="M101" s="8"/>
      <c r="N101" s="8"/>
      <c r="O101" s="8">
        <f>200000+11205842+268825+4384884+874564+12345379</f>
        <v>29279494</v>
      </c>
      <c r="P101" s="147">
        <f t="shared" si="19"/>
        <v>29279494</v>
      </c>
    </row>
    <row r="102" spans="1:16" ht="43.2" customHeight="1" x14ac:dyDescent="0.3">
      <c r="A102" s="603">
        <v>1512010</v>
      </c>
      <c r="B102" s="604">
        <v>2010</v>
      </c>
      <c r="C102" s="142" t="s">
        <v>22</v>
      </c>
      <c r="D102" s="79" t="s">
        <v>23</v>
      </c>
      <c r="E102" s="122"/>
      <c r="F102" s="122"/>
      <c r="G102" s="122"/>
      <c r="H102" s="122"/>
      <c r="I102" s="8"/>
      <c r="J102" s="8">
        <f>L102+O102</f>
        <v>103135</v>
      </c>
      <c r="K102" s="8">
        <f>O102</f>
        <v>103135</v>
      </c>
      <c r="L102" s="8"/>
      <c r="M102" s="8"/>
      <c r="N102" s="8"/>
      <c r="O102" s="8">
        <f>103135</f>
        <v>103135</v>
      </c>
      <c r="P102" s="147">
        <f t="shared" si="19"/>
        <v>103135</v>
      </c>
    </row>
    <row r="103" spans="1:16" ht="54.75" customHeight="1" x14ac:dyDescent="0.3">
      <c r="A103" s="166">
        <v>1514060</v>
      </c>
      <c r="B103" s="167">
        <v>4060</v>
      </c>
      <c r="C103" s="168" t="s">
        <v>108</v>
      </c>
      <c r="D103" s="93" t="s">
        <v>109</v>
      </c>
      <c r="E103" s="122">
        <f t="shared" ref="E103" si="40">F103+I103</f>
        <v>0</v>
      </c>
      <c r="F103" s="122">
        <v>0</v>
      </c>
      <c r="G103" s="122">
        <v>0</v>
      </c>
      <c r="H103" s="122">
        <v>0</v>
      </c>
      <c r="I103" s="8">
        <v>0</v>
      </c>
      <c r="J103" s="8">
        <f>L103+O103</f>
        <v>2478809</v>
      </c>
      <c r="K103" s="8">
        <f>O103</f>
        <v>2478809</v>
      </c>
      <c r="L103" s="8">
        <v>0</v>
      </c>
      <c r="M103" s="8">
        <v>0</v>
      </c>
      <c r="N103" s="8">
        <v>0</v>
      </c>
      <c r="O103" s="8">
        <f>2295144-694188+1568308-690455</f>
        <v>2478809</v>
      </c>
      <c r="P103" s="147">
        <f t="shared" si="19"/>
        <v>2478809</v>
      </c>
    </row>
    <row r="104" spans="1:16" ht="31.2" x14ac:dyDescent="0.3">
      <c r="A104" s="484">
        <v>1516012</v>
      </c>
      <c r="B104" s="169">
        <v>6012</v>
      </c>
      <c r="C104" s="170" t="s">
        <v>29</v>
      </c>
      <c r="D104" s="103" t="s">
        <v>253</v>
      </c>
      <c r="E104" s="8">
        <v>0</v>
      </c>
      <c r="F104" s="8">
        <v>0</v>
      </c>
      <c r="G104" s="8">
        <v>0</v>
      </c>
      <c r="H104" s="8">
        <v>0</v>
      </c>
      <c r="I104" s="8">
        <v>0</v>
      </c>
      <c r="J104" s="8">
        <f t="shared" ref="J104:J110" si="41">L104+O104</f>
        <v>8075673</v>
      </c>
      <c r="K104" s="8">
        <f>O104</f>
        <v>8075673</v>
      </c>
      <c r="L104" s="8">
        <v>0</v>
      </c>
      <c r="M104" s="8">
        <v>0</v>
      </c>
      <c r="N104" s="8">
        <v>0</v>
      </c>
      <c r="O104" s="36">
        <f>1497526+752140+1748351+2894056+1183600</f>
        <v>8075673</v>
      </c>
      <c r="P104" s="147">
        <f t="shared" si="19"/>
        <v>8075673</v>
      </c>
    </row>
    <row r="105" spans="1:16" ht="30" customHeight="1" x14ac:dyDescent="0.3">
      <c r="A105" s="119">
        <v>1516030</v>
      </c>
      <c r="B105" s="120" t="s">
        <v>28</v>
      </c>
      <c r="C105" s="120" t="s">
        <v>29</v>
      </c>
      <c r="D105" s="113" t="s">
        <v>30</v>
      </c>
      <c r="E105" s="8">
        <v>0</v>
      </c>
      <c r="F105" s="8">
        <v>0</v>
      </c>
      <c r="G105" s="8">
        <v>0</v>
      </c>
      <c r="H105" s="8">
        <v>0</v>
      </c>
      <c r="I105" s="8">
        <v>0</v>
      </c>
      <c r="J105" s="36">
        <f t="shared" si="41"/>
        <v>6432037</v>
      </c>
      <c r="K105" s="8">
        <f>O105</f>
        <v>6432037</v>
      </c>
      <c r="L105" s="8">
        <v>0</v>
      </c>
      <c r="M105" s="8">
        <v>0</v>
      </c>
      <c r="N105" s="8">
        <v>0</v>
      </c>
      <c r="O105" s="36">
        <f>1011118+1104357+4003149+406558-93145</f>
        <v>6432037</v>
      </c>
      <c r="P105" s="148">
        <f>E105+J105</f>
        <v>6432037</v>
      </c>
    </row>
    <row r="106" spans="1:16" ht="40.200000000000003" customHeight="1" x14ac:dyDescent="0.3">
      <c r="A106" s="336" t="s">
        <v>332</v>
      </c>
      <c r="B106" s="120" t="s">
        <v>333</v>
      </c>
      <c r="C106" s="337" t="s">
        <v>334</v>
      </c>
      <c r="D106" s="113" t="s">
        <v>336</v>
      </c>
      <c r="E106" s="36">
        <v>0</v>
      </c>
      <c r="F106" s="36">
        <v>0</v>
      </c>
      <c r="G106" s="36">
        <v>0</v>
      </c>
      <c r="H106" s="36">
        <v>0</v>
      </c>
      <c r="I106" s="36">
        <v>0</v>
      </c>
      <c r="J106" s="36">
        <f t="shared" si="41"/>
        <v>3338727</v>
      </c>
      <c r="K106" s="8">
        <f t="shared" ref="K106:K110" si="42">O106</f>
        <v>3338727</v>
      </c>
      <c r="L106" s="36">
        <v>0</v>
      </c>
      <c r="M106" s="36">
        <v>0</v>
      </c>
      <c r="N106" s="36">
        <v>0</v>
      </c>
      <c r="O106" s="36">
        <f>2138727+49800+1550200-400000</f>
        <v>3338727</v>
      </c>
      <c r="P106" s="148">
        <f t="shared" si="19"/>
        <v>3338727</v>
      </c>
    </row>
    <row r="107" spans="1:16" ht="40.200000000000003" customHeight="1" x14ac:dyDescent="0.3">
      <c r="A107" s="336">
        <v>1517324</v>
      </c>
      <c r="B107" s="120">
        <v>7324</v>
      </c>
      <c r="C107" s="502" t="s">
        <v>334</v>
      </c>
      <c r="D107" s="113" t="s">
        <v>615</v>
      </c>
      <c r="E107" s="36"/>
      <c r="F107" s="36"/>
      <c r="G107" s="36"/>
      <c r="H107" s="36"/>
      <c r="I107" s="36"/>
      <c r="J107" s="36">
        <f t="shared" si="41"/>
        <v>1501526</v>
      </c>
      <c r="K107" s="8">
        <f t="shared" si="42"/>
        <v>1501526</v>
      </c>
      <c r="L107" s="36"/>
      <c r="M107" s="36"/>
      <c r="N107" s="36"/>
      <c r="O107" s="36">
        <f>0+1501526</f>
        <v>1501526</v>
      </c>
      <c r="P107" s="148">
        <f t="shared" si="19"/>
        <v>1501526</v>
      </c>
    </row>
    <row r="108" spans="1:16" ht="31.2" x14ac:dyDescent="0.3">
      <c r="A108" s="604">
        <v>1517330</v>
      </c>
      <c r="B108" s="604">
        <v>7330</v>
      </c>
      <c r="C108" s="142" t="s">
        <v>334</v>
      </c>
      <c r="D108" s="93" t="s">
        <v>502</v>
      </c>
      <c r="E108" s="8"/>
      <c r="F108" s="8"/>
      <c r="G108" s="8"/>
      <c r="H108" s="8"/>
      <c r="I108" s="8"/>
      <c r="J108" s="8">
        <f t="shared" si="41"/>
        <v>1264018</v>
      </c>
      <c r="K108" s="8">
        <f t="shared" si="42"/>
        <v>1264018</v>
      </c>
      <c r="L108" s="8"/>
      <c r="M108" s="8"/>
      <c r="N108" s="8"/>
      <c r="O108" s="8">
        <f>1477980-213962</f>
        <v>1264018</v>
      </c>
      <c r="P108" s="122">
        <f t="shared" si="19"/>
        <v>1264018</v>
      </c>
    </row>
    <row r="109" spans="1:16" ht="31.8" hidden="1" thickBot="1" x14ac:dyDescent="0.35">
      <c r="A109" s="119">
        <v>1517693</v>
      </c>
      <c r="B109" s="120">
        <v>7693</v>
      </c>
      <c r="C109" s="338" t="s">
        <v>178</v>
      </c>
      <c r="D109" s="103" t="s">
        <v>500</v>
      </c>
      <c r="E109" s="36"/>
      <c r="F109" s="36"/>
      <c r="G109" s="36"/>
      <c r="H109" s="36"/>
      <c r="I109" s="36"/>
      <c r="J109" s="8">
        <f t="shared" si="41"/>
        <v>0</v>
      </c>
      <c r="K109" s="8">
        <f t="shared" si="42"/>
        <v>0</v>
      </c>
      <c r="L109" s="36"/>
      <c r="M109" s="36"/>
      <c r="N109" s="36"/>
      <c r="O109" s="36">
        <f>0</f>
        <v>0</v>
      </c>
      <c r="P109" s="122">
        <f t="shared" si="19"/>
        <v>0</v>
      </c>
    </row>
    <row r="110" spans="1:16" ht="48.6" customHeight="1" thickBot="1" x14ac:dyDescent="0.35">
      <c r="A110" s="100">
        <v>1517461</v>
      </c>
      <c r="B110" s="17">
        <v>7461</v>
      </c>
      <c r="C110" s="483" t="s">
        <v>141</v>
      </c>
      <c r="D110" s="93" t="s">
        <v>142</v>
      </c>
      <c r="E110" s="480"/>
      <c r="F110" s="480"/>
      <c r="G110" s="480"/>
      <c r="H110" s="480"/>
      <c r="I110" s="480"/>
      <c r="J110" s="8">
        <f t="shared" si="41"/>
        <v>12000000</v>
      </c>
      <c r="K110" s="8">
        <f t="shared" si="42"/>
        <v>12000000</v>
      </c>
      <c r="L110" s="480"/>
      <c r="M110" s="480"/>
      <c r="N110" s="480"/>
      <c r="O110" s="480">
        <f>0+12000000</f>
        <v>12000000</v>
      </c>
      <c r="P110" s="122">
        <f t="shared" si="19"/>
        <v>12000000</v>
      </c>
    </row>
    <row r="111" spans="1:16" s="85" customFormat="1" ht="62.25" customHeight="1" thickBot="1" x14ac:dyDescent="0.35">
      <c r="A111" s="114" t="s">
        <v>206</v>
      </c>
      <c r="B111" s="115" t="s">
        <v>16</v>
      </c>
      <c r="C111" s="115" t="s">
        <v>16</v>
      </c>
      <c r="D111" s="117" t="s">
        <v>207</v>
      </c>
      <c r="E111" s="144">
        <f>E112</f>
        <v>3416714</v>
      </c>
      <c r="F111" s="144">
        <f t="shared" ref="F111:I111" si="43">F112</f>
        <v>3416714</v>
      </c>
      <c r="G111" s="144">
        <f t="shared" si="43"/>
        <v>3098912</v>
      </c>
      <c r="H111" s="144">
        <f t="shared" si="43"/>
        <v>0</v>
      </c>
      <c r="I111" s="144">
        <f t="shared" si="43"/>
        <v>0</v>
      </c>
      <c r="J111" s="23">
        <f>J112</f>
        <v>0</v>
      </c>
      <c r="K111" s="23">
        <f>K112</f>
        <v>0</v>
      </c>
      <c r="L111" s="23">
        <f t="shared" ref="L111:O112" si="44">L112</f>
        <v>0</v>
      </c>
      <c r="M111" s="23">
        <f t="shared" si="44"/>
        <v>0</v>
      </c>
      <c r="N111" s="23">
        <f t="shared" si="44"/>
        <v>0</v>
      </c>
      <c r="O111" s="23">
        <f t="shared" si="44"/>
        <v>0</v>
      </c>
      <c r="P111" s="145">
        <f>E111+J111</f>
        <v>3416714</v>
      </c>
    </row>
    <row r="112" spans="1:16" s="84" customFormat="1" ht="46.8" x14ac:dyDescent="0.3">
      <c r="A112" s="136" t="s">
        <v>208</v>
      </c>
      <c r="B112" s="137" t="s">
        <v>16</v>
      </c>
      <c r="C112" s="137" t="s">
        <v>16</v>
      </c>
      <c r="D112" s="138" t="s">
        <v>207</v>
      </c>
      <c r="E112" s="124">
        <f>E113+E114</f>
        <v>3416714</v>
      </c>
      <c r="F112" s="124">
        <f>F113+F114</f>
        <v>3416714</v>
      </c>
      <c r="G112" s="124">
        <f>G113</f>
        <v>3098912</v>
      </c>
      <c r="H112" s="124">
        <f>H113</f>
        <v>0</v>
      </c>
      <c r="I112" s="39">
        <f>I113</f>
        <v>0</v>
      </c>
      <c r="J112" s="39">
        <f>J113</f>
        <v>0</v>
      </c>
      <c r="K112" s="39">
        <f>K113</f>
        <v>0</v>
      </c>
      <c r="L112" s="39">
        <f t="shared" si="44"/>
        <v>0</v>
      </c>
      <c r="M112" s="39">
        <f t="shared" si="44"/>
        <v>0</v>
      </c>
      <c r="N112" s="39">
        <f t="shared" si="44"/>
        <v>0</v>
      </c>
      <c r="O112" s="39">
        <f t="shared" si="44"/>
        <v>0</v>
      </c>
      <c r="P112" s="146">
        <f>E112+J112</f>
        <v>3416714</v>
      </c>
    </row>
    <row r="113" spans="1:16" ht="54.6" customHeight="1" x14ac:dyDescent="0.3">
      <c r="A113" s="595" t="s">
        <v>209</v>
      </c>
      <c r="B113" s="597" t="s">
        <v>46</v>
      </c>
      <c r="C113" s="597" t="s">
        <v>19</v>
      </c>
      <c r="D113" s="79" t="s">
        <v>182</v>
      </c>
      <c r="E113" s="122">
        <f>F113+I113</f>
        <v>3271714</v>
      </c>
      <c r="F113" s="122">
        <v>3271714</v>
      </c>
      <c r="G113" s="122">
        <v>3098912</v>
      </c>
      <c r="H113" s="122">
        <v>0</v>
      </c>
      <c r="I113" s="8">
        <v>0</v>
      </c>
      <c r="J113" s="39">
        <f t="shared" ref="J113:J114" si="45">J114</f>
        <v>0</v>
      </c>
      <c r="K113" s="39">
        <f t="shared" ref="K113:K114" si="46">K114</f>
        <v>0</v>
      </c>
      <c r="L113" s="8">
        <v>0</v>
      </c>
      <c r="M113" s="8">
        <v>0</v>
      </c>
      <c r="N113" s="8">
        <v>0</v>
      </c>
      <c r="O113" s="8">
        <v>0</v>
      </c>
      <c r="P113" s="147">
        <f t="shared" si="19"/>
        <v>3271714</v>
      </c>
    </row>
    <row r="114" spans="1:16" ht="54.6" customHeight="1" thickBot="1" x14ac:dyDescent="0.35">
      <c r="A114" s="100">
        <v>1616014</v>
      </c>
      <c r="B114" s="17">
        <v>6014</v>
      </c>
      <c r="C114" s="483" t="s">
        <v>29</v>
      </c>
      <c r="D114" s="79" t="s">
        <v>503</v>
      </c>
      <c r="E114" s="122">
        <f>F114+I114</f>
        <v>145000</v>
      </c>
      <c r="F114" s="479">
        <f>0+145000</f>
        <v>145000</v>
      </c>
      <c r="G114" s="479">
        <v>0</v>
      </c>
      <c r="H114" s="479">
        <v>0</v>
      </c>
      <c r="I114" s="480">
        <v>0</v>
      </c>
      <c r="J114" s="39">
        <f t="shared" si="45"/>
        <v>0</v>
      </c>
      <c r="K114" s="39">
        <f t="shared" si="46"/>
        <v>0</v>
      </c>
      <c r="L114" s="480">
        <v>0</v>
      </c>
      <c r="M114" s="480">
        <v>0</v>
      </c>
      <c r="N114" s="480">
        <v>0</v>
      </c>
      <c r="O114" s="480">
        <v>0</v>
      </c>
      <c r="P114" s="147">
        <f t="shared" si="19"/>
        <v>145000</v>
      </c>
    </row>
    <row r="115" spans="1:16" s="85" customFormat="1" ht="31.8" thickBot="1" x14ac:dyDescent="0.35">
      <c r="A115" s="114" t="s">
        <v>210</v>
      </c>
      <c r="B115" s="115" t="s">
        <v>16</v>
      </c>
      <c r="C115" s="115" t="s">
        <v>16</v>
      </c>
      <c r="D115" s="117" t="s">
        <v>211</v>
      </c>
      <c r="E115" s="144">
        <f>E116</f>
        <v>7675121</v>
      </c>
      <c r="F115" s="144">
        <f>F116</f>
        <v>7675121</v>
      </c>
      <c r="G115" s="144">
        <f>G116</f>
        <v>3155437</v>
      </c>
      <c r="H115" s="144">
        <f t="shared" ref="H115:I116" si="47">H116</f>
        <v>0</v>
      </c>
      <c r="I115" s="144">
        <f t="shared" si="47"/>
        <v>0</v>
      </c>
      <c r="J115" s="23">
        <f>J116</f>
        <v>0</v>
      </c>
      <c r="K115" s="23">
        <f>K116</f>
        <v>0</v>
      </c>
      <c r="L115" s="23">
        <f t="shared" ref="L115:O116" si="48">L116</f>
        <v>0</v>
      </c>
      <c r="M115" s="23">
        <f t="shared" si="48"/>
        <v>0</v>
      </c>
      <c r="N115" s="23">
        <f t="shared" si="48"/>
        <v>0</v>
      </c>
      <c r="O115" s="23">
        <f t="shared" si="48"/>
        <v>0</v>
      </c>
      <c r="P115" s="145">
        <f t="shared" si="19"/>
        <v>7675121</v>
      </c>
    </row>
    <row r="116" spans="1:16" s="84" customFormat="1" ht="36" customHeight="1" x14ac:dyDescent="0.3">
      <c r="A116" s="561" t="s">
        <v>212</v>
      </c>
      <c r="B116" s="562" t="s">
        <v>16</v>
      </c>
      <c r="C116" s="562" t="s">
        <v>16</v>
      </c>
      <c r="D116" s="563" t="s">
        <v>211</v>
      </c>
      <c r="E116" s="564">
        <f>E117+E118</f>
        <v>7675121</v>
      </c>
      <c r="F116" s="564">
        <f t="shared" ref="F116" si="49">F117+F118</f>
        <v>7675121</v>
      </c>
      <c r="G116" s="564">
        <f>G117+G118</f>
        <v>3155437</v>
      </c>
      <c r="H116" s="564">
        <f t="shared" si="47"/>
        <v>0</v>
      </c>
      <c r="I116" s="564">
        <f t="shared" si="47"/>
        <v>0</v>
      </c>
      <c r="J116" s="45">
        <f>J117</f>
        <v>0</v>
      </c>
      <c r="K116" s="45">
        <f>K117</f>
        <v>0</v>
      </c>
      <c r="L116" s="45">
        <f t="shared" si="48"/>
        <v>0</v>
      </c>
      <c r="M116" s="45">
        <f t="shared" si="48"/>
        <v>0</v>
      </c>
      <c r="N116" s="45">
        <f t="shared" si="48"/>
        <v>0</v>
      </c>
      <c r="O116" s="45">
        <f t="shared" si="48"/>
        <v>0</v>
      </c>
      <c r="P116" s="565">
        <f t="shared" si="19"/>
        <v>7675121</v>
      </c>
    </row>
    <row r="117" spans="1:16" ht="46.8" x14ac:dyDescent="0.3">
      <c r="A117" s="119" t="s">
        <v>213</v>
      </c>
      <c r="B117" s="120" t="s">
        <v>46</v>
      </c>
      <c r="C117" s="120" t="s">
        <v>19</v>
      </c>
      <c r="D117" s="113" t="s">
        <v>182</v>
      </c>
      <c r="E117" s="123">
        <f>F117+I117</f>
        <v>3234461</v>
      </c>
      <c r="F117" s="123">
        <v>3234461</v>
      </c>
      <c r="G117" s="123">
        <v>3155437</v>
      </c>
      <c r="H117" s="123">
        <v>0</v>
      </c>
      <c r="I117" s="36">
        <v>0</v>
      </c>
      <c r="J117" s="36">
        <f>K117+O117</f>
        <v>0</v>
      </c>
      <c r="K117" s="36">
        <v>0</v>
      </c>
      <c r="L117" s="36">
        <v>0</v>
      </c>
      <c r="M117" s="36">
        <v>0</v>
      </c>
      <c r="N117" s="36">
        <v>0</v>
      </c>
      <c r="O117" s="36">
        <v>0</v>
      </c>
      <c r="P117" s="148">
        <f t="shared" si="19"/>
        <v>3234461</v>
      </c>
    </row>
    <row r="118" spans="1:16" ht="24" customHeight="1" thickBot="1" x14ac:dyDescent="0.35">
      <c r="A118" s="119">
        <v>2717413</v>
      </c>
      <c r="B118" s="120">
        <v>7413</v>
      </c>
      <c r="C118" s="338" t="s">
        <v>256</v>
      </c>
      <c r="D118" s="113" t="s">
        <v>255</v>
      </c>
      <c r="E118" s="123">
        <f>F118+I118</f>
        <v>4440660</v>
      </c>
      <c r="F118" s="123">
        <f>5407680-967020</f>
        <v>4440660</v>
      </c>
      <c r="G118" s="123">
        <v>0</v>
      </c>
      <c r="H118" s="123"/>
      <c r="I118" s="36"/>
      <c r="J118" s="36"/>
      <c r="K118" s="36"/>
      <c r="L118" s="36"/>
      <c r="M118" s="36"/>
      <c r="N118" s="36"/>
      <c r="O118" s="36"/>
      <c r="P118" s="148">
        <f t="shared" si="19"/>
        <v>4440660</v>
      </c>
    </row>
    <row r="119" spans="1:16" s="85" customFormat="1" ht="47.4" thickBot="1" x14ac:dyDescent="0.35">
      <c r="A119" s="114" t="s">
        <v>214</v>
      </c>
      <c r="B119" s="115" t="s">
        <v>16</v>
      </c>
      <c r="C119" s="115" t="s">
        <v>16</v>
      </c>
      <c r="D119" s="117" t="s">
        <v>215</v>
      </c>
      <c r="E119" s="144">
        <f>E120</f>
        <v>2627274</v>
      </c>
      <c r="F119" s="144">
        <f>F120</f>
        <v>2627274</v>
      </c>
      <c r="G119" s="144">
        <f t="shared" ref="G119:I119" si="50">G120</f>
        <v>2328937</v>
      </c>
      <c r="H119" s="144">
        <f t="shared" si="50"/>
        <v>0</v>
      </c>
      <c r="I119" s="144">
        <f t="shared" si="50"/>
        <v>0</v>
      </c>
      <c r="J119" s="23">
        <f>J120</f>
        <v>23000</v>
      </c>
      <c r="K119" s="144">
        <f>K120</f>
        <v>23000</v>
      </c>
      <c r="L119" s="144">
        <f t="shared" ref="L119:O119" si="51">L120</f>
        <v>0</v>
      </c>
      <c r="M119" s="144">
        <f t="shared" si="51"/>
        <v>0</v>
      </c>
      <c r="N119" s="144">
        <f t="shared" si="51"/>
        <v>0</v>
      </c>
      <c r="O119" s="144">
        <f t="shared" si="51"/>
        <v>23000</v>
      </c>
      <c r="P119" s="145">
        <f t="shared" si="19"/>
        <v>2650274</v>
      </c>
    </row>
    <row r="120" spans="1:16" s="84" customFormat="1" ht="46.8" x14ac:dyDescent="0.3">
      <c r="A120" s="136" t="s">
        <v>216</v>
      </c>
      <c r="B120" s="137" t="s">
        <v>16</v>
      </c>
      <c r="C120" s="137" t="s">
        <v>16</v>
      </c>
      <c r="D120" s="138" t="s">
        <v>215</v>
      </c>
      <c r="E120" s="124">
        <f>E121+E122+E123</f>
        <v>2627274</v>
      </c>
      <c r="F120" s="124">
        <f>F121+F122+F123</f>
        <v>2627274</v>
      </c>
      <c r="G120" s="124">
        <f>G121</f>
        <v>2328937</v>
      </c>
      <c r="H120" s="124">
        <f t="shared" ref="H120:O120" si="52">H121+H126</f>
        <v>0</v>
      </c>
      <c r="I120" s="124">
        <f t="shared" si="52"/>
        <v>0</v>
      </c>
      <c r="J120" s="39">
        <f>J121+J126</f>
        <v>23000</v>
      </c>
      <c r="K120" s="124">
        <f t="shared" si="52"/>
        <v>23000</v>
      </c>
      <c r="L120" s="124">
        <f t="shared" si="52"/>
        <v>0</v>
      </c>
      <c r="M120" s="124">
        <f t="shared" si="52"/>
        <v>0</v>
      </c>
      <c r="N120" s="124">
        <f t="shared" si="52"/>
        <v>0</v>
      </c>
      <c r="O120" s="124">
        <f t="shared" si="52"/>
        <v>23000</v>
      </c>
      <c r="P120" s="146">
        <f t="shared" si="19"/>
        <v>2650274</v>
      </c>
    </row>
    <row r="121" spans="1:16" ht="46.8" x14ac:dyDescent="0.3">
      <c r="A121" s="595" t="s">
        <v>217</v>
      </c>
      <c r="B121" s="597" t="s">
        <v>46</v>
      </c>
      <c r="C121" s="597" t="s">
        <v>19</v>
      </c>
      <c r="D121" s="79" t="s">
        <v>182</v>
      </c>
      <c r="E121" s="122">
        <f>F121+I121</f>
        <v>2393892</v>
      </c>
      <c r="F121" s="122">
        <v>2393892</v>
      </c>
      <c r="G121" s="122">
        <v>2328937</v>
      </c>
      <c r="H121" s="122">
        <v>0</v>
      </c>
      <c r="I121" s="8">
        <v>0</v>
      </c>
      <c r="J121" s="8">
        <f>L121+O121</f>
        <v>23000</v>
      </c>
      <c r="K121" s="8">
        <v>23000</v>
      </c>
      <c r="L121" s="8">
        <v>0</v>
      </c>
      <c r="M121" s="8">
        <v>0</v>
      </c>
      <c r="N121" s="8">
        <v>0</v>
      </c>
      <c r="O121" s="8">
        <v>23000</v>
      </c>
      <c r="P121" s="147">
        <f t="shared" si="19"/>
        <v>2416892</v>
      </c>
    </row>
    <row r="122" spans="1:16" ht="31.2" x14ac:dyDescent="0.3">
      <c r="A122" s="100">
        <v>3117693</v>
      </c>
      <c r="B122" s="17">
        <v>7693</v>
      </c>
      <c r="C122" s="483" t="s">
        <v>178</v>
      </c>
      <c r="D122" s="79" t="s">
        <v>500</v>
      </c>
      <c r="E122" s="122">
        <f t="shared" ref="E122:E123" si="53">F122+I122</f>
        <v>160062</v>
      </c>
      <c r="F122" s="479">
        <f>0+6562+153500</f>
        <v>160062</v>
      </c>
      <c r="G122" s="479"/>
      <c r="H122" s="479"/>
      <c r="I122" s="480"/>
      <c r="J122" s="8">
        <f t="shared" ref="J122:J123" si="54">L122+O122</f>
        <v>0</v>
      </c>
      <c r="K122" s="8"/>
      <c r="L122" s="8">
        <v>0</v>
      </c>
      <c r="M122" s="480"/>
      <c r="N122" s="480"/>
      <c r="O122" s="480"/>
      <c r="P122" s="147">
        <f t="shared" si="19"/>
        <v>160062</v>
      </c>
    </row>
    <row r="123" spans="1:16" ht="43.5" customHeight="1" thickBot="1" x14ac:dyDescent="0.35">
      <c r="A123" s="119">
        <v>3118110</v>
      </c>
      <c r="B123" s="120">
        <v>8110</v>
      </c>
      <c r="C123" s="338" t="s">
        <v>245</v>
      </c>
      <c r="D123" s="79" t="s">
        <v>246</v>
      </c>
      <c r="E123" s="122">
        <f t="shared" si="53"/>
        <v>73320</v>
      </c>
      <c r="F123" s="123">
        <f>0+73320</f>
        <v>73320</v>
      </c>
      <c r="G123" s="123"/>
      <c r="H123" s="123"/>
      <c r="I123" s="36"/>
      <c r="J123" s="8">
        <f t="shared" si="54"/>
        <v>0</v>
      </c>
      <c r="K123" s="8"/>
      <c r="L123" s="8">
        <v>0</v>
      </c>
      <c r="M123" s="36"/>
      <c r="N123" s="36"/>
      <c r="O123" s="36"/>
      <c r="P123" s="147">
        <f t="shared" si="19"/>
        <v>73320</v>
      </c>
    </row>
    <row r="124" spans="1:16" s="85" customFormat="1" ht="55.2" customHeight="1" thickBot="1" x14ac:dyDescent="0.35">
      <c r="A124" s="114" t="s">
        <v>218</v>
      </c>
      <c r="B124" s="115" t="s">
        <v>16</v>
      </c>
      <c r="C124" s="115" t="s">
        <v>16</v>
      </c>
      <c r="D124" s="117" t="s">
        <v>219</v>
      </c>
      <c r="E124" s="144">
        <f>E125</f>
        <v>8957372</v>
      </c>
      <c r="F124" s="144">
        <f>F125</f>
        <v>8957372</v>
      </c>
      <c r="G124" s="144">
        <f t="shared" ref="G124:I124" si="55">G125</f>
        <v>4592797</v>
      </c>
      <c r="H124" s="144">
        <f t="shared" si="55"/>
        <v>0</v>
      </c>
      <c r="I124" s="144">
        <f t="shared" si="55"/>
        <v>0</v>
      </c>
      <c r="J124" s="23">
        <f>J125</f>
        <v>0</v>
      </c>
      <c r="K124" s="23">
        <f>K125</f>
        <v>0</v>
      </c>
      <c r="L124" s="23"/>
      <c r="M124" s="23"/>
      <c r="N124" s="23"/>
      <c r="O124" s="23"/>
      <c r="P124" s="145">
        <f>E124+J124</f>
        <v>8957372</v>
      </c>
    </row>
    <row r="125" spans="1:16" s="84" customFormat="1" ht="31.2" x14ac:dyDescent="0.3">
      <c r="A125" s="136" t="s">
        <v>220</v>
      </c>
      <c r="B125" s="137" t="s">
        <v>16</v>
      </c>
      <c r="C125" s="137" t="s">
        <v>16</v>
      </c>
      <c r="D125" s="138" t="s">
        <v>219</v>
      </c>
      <c r="E125" s="124">
        <f>E126+E127</f>
        <v>8957372</v>
      </c>
      <c r="F125" s="124">
        <f>F126+F127</f>
        <v>8957372</v>
      </c>
      <c r="G125" s="124">
        <f>G126+G127</f>
        <v>4592797</v>
      </c>
      <c r="H125" s="124">
        <f>H126+H127</f>
        <v>0</v>
      </c>
      <c r="I125" s="124">
        <f t="shared" ref="I125:O125" si="56">I126+I127</f>
        <v>0</v>
      </c>
      <c r="J125" s="124">
        <f t="shared" si="56"/>
        <v>0</v>
      </c>
      <c r="K125" s="124">
        <f t="shared" si="56"/>
        <v>0</v>
      </c>
      <c r="L125" s="124">
        <f t="shared" si="56"/>
        <v>0</v>
      </c>
      <c r="M125" s="124">
        <f t="shared" si="56"/>
        <v>0</v>
      </c>
      <c r="N125" s="124">
        <f t="shared" si="56"/>
        <v>0</v>
      </c>
      <c r="O125" s="124">
        <f t="shared" si="56"/>
        <v>0</v>
      </c>
      <c r="P125" s="146">
        <f>E125+J125</f>
        <v>8957372</v>
      </c>
    </row>
    <row r="126" spans="1:16" ht="46.8" x14ac:dyDescent="0.3">
      <c r="A126" s="595" t="s">
        <v>221</v>
      </c>
      <c r="B126" s="597" t="s">
        <v>46</v>
      </c>
      <c r="C126" s="597" t="s">
        <v>19</v>
      </c>
      <c r="D126" s="79" t="s">
        <v>182</v>
      </c>
      <c r="E126" s="122">
        <f>F126+I126</f>
        <v>4757372</v>
      </c>
      <c r="F126" s="122">
        <v>4757372</v>
      </c>
      <c r="G126" s="122">
        <v>4592797</v>
      </c>
      <c r="H126" s="122">
        <v>0</v>
      </c>
      <c r="I126" s="8">
        <v>0</v>
      </c>
      <c r="J126" s="36">
        <f t="shared" ref="J126:J127" si="57">K126+O126</f>
        <v>0</v>
      </c>
      <c r="K126" s="8">
        <v>0</v>
      </c>
      <c r="L126" s="8">
        <v>0</v>
      </c>
      <c r="M126" s="8">
        <v>0</v>
      </c>
      <c r="N126" s="8">
        <v>0</v>
      </c>
      <c r="O126" s="8">
        <v>0</v>
      </c>
      <c r="P126" s="147">
        <f t="shared" si="19"/>
        <v>4757372</v>
      </c>
    </row>
    <row r="127" spans="1:16" ht="25.95" customHeight="1" thickBot="1" x14ac:dyDescent="0.35">
      <c r="A127" s="595" t="s">
        <v>222</v>
      </c>
      <c r="B127" s="597" t="s">
        <v>223</v>
      </c>
      <c r="C127" s="597" t="s">
        <v>224</v>
      </c>
      <c r="D127" s="79" t="s">
        <v>225</v>
      </c>
      <c r="E127" s="122">
        <f>F127</f>
        <v>4200000</v>
      </c>
      <c r="F127" s="154">
        <v>4200000</v>
      </c>
      <c r="G127" s="122">
        <v>0</v>
      </c>
      <c r="H127" s="122">
        <v>0</v>
      </c>
      <c r="I127" s="122">
        <v>0</v>
      </c>
      <c r="J127" s="36">
        <f t="shared" si="57"/>
        <v>0</v>
      </c>
      <c r="K127" s="8">
        <v>0</v>
      </c>
      <c r="L127" s="8">
        <v>0</v>
      </c>
      <c r="M127" s="8">
        <v>0</v>
      </c>
      <c r="N127" s="8">
        <v>0</v>
      </c>
      <c r="O127" s="8">
        <v>0</v>
      </c>
      <c r="P127" s="147">
        <f t="shared" si="19"/>
        <v>4200000</v>
      </c>
    </row>
    <row r="128" spans="1:16" ht="16.2" thickBot="1" x14ac:dyDescent="0.35">
      <c r="A128" s="114" t="s">
        <v>6</v>
      </c>
      <c r="B128" s="115" t="s">
        <v>6</v>
      </c>
      <c r="C128" s="115" t="s">
        <v>6</v>
      </c>
      <c r="D128" s="155" t="s">
        <v>150</v>
      </c>
      <c r="E128" s="144">
        <f t="shared" ref="E128:O128" si="58">E23+E38+E54+E66+E70+E87+E98+E111+E115+E119+E124</f>
        <v>553648535</v>
      </c>
      <c r="F128" s="144">
        <f>F23+F38+F54+F66+F70+F87+F98+F111+F115+F119+F124</f>
        <v>553648535</v>
      </c>
      <c r="G128" s="144">
        <f t="shared" si="58"/>
        <v>298231752</v>
      </c>
      <c r="H128" s="144">
        <f t="shared" si="58"/>
        <v>33915085</v>
      </c>
      <c r="I128" s="144">
        <f t="shared" si="58"/>
        <v>0</v>
      </c>
      <c r="J128" s="144">
        <f t="shared" si="58"/>
        <v>94575162</v>
      </c>
      <c r="K128" s="144">
        <f>K23+K38+K54+K66+K70+K87+K98+K111+K115+K119+K124</f>
        <v>83557282</v>
      </c>
      <c r="L128" s="144">
        <f t="shared" si="58"/>
        <v>10226150</v>
      </c>
      <c r="M128" s="144">
        <f>M23+M38+M54+M66+M70+M87+M98+M111+M115+M119+M124</f>
        <v>2034353</v>
      </c>
      <c r="N128" s="144">
        <f t="shared" si="58"/>
        <v>55353</v>
      </c>
      <c r="O128" s="144">
        <f t="shared" si="58"/>
        <v>84047074</v>
      </c>
      <c r="P128" s="145">
        <f>E128+J128</f>
        <v>648223697</v>
      </c>
    </row>
    <row r="129" spans="1:19" x14ac:dyDescent="0.3">
      <c r="A129" s="52"/>
      <c r="B129" s="52"/>
      <c r="C129" s="52"/>
      <c r="D129" s="53"/>
      <c r="E129" s="156"/>
      <c r="F129" s="156"/>
      <c r="G129" s="156"/>
      <c r="H129" s="156"/>
      <c r="I129" s="156"/>
      <c r="J129" s="156"/>
      <c r="K129" s="156"/>
      <c r="L129" s="156"/>
      <c r="M129" s="156"/>
      <c r="N129" s="156"/>
      <c r="O129" s="156"/>
      <c r="P129" s="156"/>
    </row>
    <row r="130" spans="1:19" ht="16.95" customHeight="1" x14ac:dyDescent="0.3"/>
    <row r="131" spans="1:19" s="72" customFormat="1" ht="28.95" customHeight="1" x14ac:dyDescent="0.3">
      <c r="A131" s="747" t="s">
        <v>440</v>
      </c>
      <c r="B131" s="747"/>
      <c r="C131" s="747"/>
      <c r="D131" s="747"/>
      <c r="E131" s="157"/>
      <c r="F131" s="157"/>
      <c r="G131" s="157"/>
      <c r="H131" s="157"/>
      <c r="I131" s="157"/>
      <c r="J131" s="157" t="s">
        <v>539</v>
      </c>
      <c r="K131" s="157"/>
      <c r="L131" s="158"/>
      <c r="M131" s="157"/>
      <c r="N131" s="157"/>
      <c r="O131" s="159"/>
      <c r="P131" s="160"/>
      <c r="S131" s="536"/>
    </row>
    <row r="132" spans="1:19" ht="16.95" customHeight="1" x14ac:dyDescent="0.3">
      <c r="E132" s="161"/>
      <c r="J132" s="161"/>
    </row>
    <row r="133" spans="1:19" x14ac:dyDescent="0.3">
      <c r="G133" s="162"/>
    </row>
    <row r="134" spans="1:19" x14ac:dyDescent="0.3">
      <c r="K134" s="172"/>
    </row>
    <row r="138" spans="1:19" x14ac:dyDescent="0.3">
      <c r="G138" s="162"/>
    </row>
  </sheetData>
  <mergeCells count="31">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 ref="N5:O5"/>
    <mergeCell ref="A131:D131"/>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s>
  <pageMargins left="1.1811023622047245" right="0.39370078740157483" top="0.78740157480314965" bottom="0.78740157480314965" header="0.31496062992125984" footer="0.31496062992125984"/>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66"/>
  <sheetViews>
    <sheetView view="pageBreakPreview" topLeftCell="A53" zoomScale="90" zoomScaleNormal="100" zoomScaleSheetLayoutView="90" workbookViewId="0">
      <selection activeCell="C6" sqref="C6"/>
    </sheetView>
  </sheetViews>
  <sheetFormatPr defaultRowHeight="13.8" x14ac:dyDescent="0.3"/>
  <cols>
    <col min="1" max="1" width="21.109375" customWidth="1"/>
    <col min="2" max="2" width="20.6640625" customWidth="1"/>
    <col min="3" max="3" width="81.6640625" customWidth="1"/>
    <col min="4" max="4" width="25" customWidth="1"/>
  </cols>
  <sheetData>
    <row r="1" spans="1:5" ht="15.6" x14ac:dyDescent="0.3">
      <c r="C1" s="177" t="s">
        <v>636</v>
      </c>
      <c r="D1" s="531"/>
    </row>
    <row r="2" spans="1:5" ht="15.6" x14ac:dyDescent="0.3">
      <c r="C2" s="600" t="s">
        <v>631</v>
      </c>
      <c r="D2" s="4"/>
    </row>
    <row r="3" spans="1:5" ht="15.6" x14ac:dyDescent="0.3">
      <c r="C3" s="532" t="s">
        <v>637</v>
      </c>
      <c r="D3" s="601"/>
    </row>
    <row r="4" spans="1:5" ht="15.6" x14ac:dyDescent="0.3">
      <c r="C4" s="532" t="s">
        <v>638</v>
      </c>
      <c r="D4" s="601"/>
    </row>
    <row r="5" spans="1:5" ht="15.6" x14ac:dyDescent="0.3">
      <c r="C5" s="724" t="s">
        <v>639</v>
      </c>
      <c r="D5" s="724"/>
    </row>
    <row r="6" spans="1:5" x14ac:dyDescent="0.3">
      <c r="C6" s="530"/>
    </row>
    <row r="7" spans="1:5" ht="15.6" x14ac:dyDescent="0.3">
      <c r="C7" s="3" t="s">
        <v>544</v>
      </c>
      <c r="D7" s="82"/>
      <c r="E7" s="5"/>
    </row>
    <row r="8" spans="1:5" ht="15.6" x14ac:dyDescent="0.3">
      <c r="C8" s="400" t="s">
        <v>545</v>
      </c>
      <c r="D8" s="82"/>
      <c r="E8" s="5"/>
    </row>
    <row r="9" spans="1:5" ht="15.6" x14ac:dyDescent="0.3">
      <c r="C9" s="400" t="s">
        <v>464</v>
      </c>
      <c r="D9" s="82"/>
      <c r="E9" s="5"/>
    </row>
    <row r="10" spans="1:5" ht="15.6" x14ac:dyDescent="0.3">
      <c r="C10" s="400" t="s">
        <v>546</v>
      </c>
      <c r="D10" s="82"/>
      <c r="E10" s="5"/>
    </row>
    <row r="11" spans="1:5" ht="15.6" x14ac:dyDescent="0.3">
      <c r="C11" s="401" t="s">
        <v>465</v>
      </c>
      <c r="D11" s="82"/>
      <c r="E11" s="5"/>
    </row>
    <row r="12" spans="1:5" ht="19.2" customHeight="1" x14ac:dyDescent="0.3">
      <c r="C12" s="401" t="s">
        <v>466</v>
      </c>
      <c r="D12" s="82"/>
      <c r="E12" s="5"/>
    </row>
    <row r="13" spans="1:5" ht="15.6" customHeight="1" x14ac:dyDescent="0.3">
      <c r="C13" s="778" t="s">
        <v>547</v>
      </c>
      <c r="D13" s="778"/>
      <c r="E13" s="5"/>
    </row>
    <row r="14" spans="1:5" ht="21" x14ac:dyDescent="0.4">
      <c r="A14" s="736" t="s">
        <v>467</v>
      </c>
      <c r="B14" s="737"/>
      <c r="C14" s="737"/>
      <c r="D14" s="737"/>
    </row>
    <row r="15" spans="1:5" ht="15.6" x14ac:dyDescent="0.3">
      <c r="A15" s="711" t="s">
        <v>166</v>
      </c>
      <c r="B15" s="779"/>
      <c r="C15" s="779"/>
      <c r="D15" s="779"/>
    </row>
    <row r="16" spans="1:5" ht="15.6" x14ac:dyDescent="0.3">
      <c r="A16" s="779" t="s">
        <v>0</v>
      </c>
      <c r="B16" s="779"/>
      <c r="C16" s="779"/>
      <c r="D16" s="779"/>
    </row>
    <row r="17" spans="1:4" ht="15.75" customHeight="1" x14ac:dyDescent="0.3">
      <c r="A17" s="402" t="s">
        <v>468</v>
      </c>
      <c r="B17" s="1"/>
      <c r="C17" s="1"/>
      <c r="D17" s="1"/>
    </row>
    <row r="18" spans="1:4" ht="14.4" customHeight="1" thickBot="1" x14ac:dyDescent="0.35">
      <c r="A18" s="1"/>
      <c r="B18" s="1"/>
      <c r="C18" s="1"/>
      <c r="D18" s="2" t="s">
        <v>297</v>
      </c>
    </row>
    <row r="19" spans="1:4" ht="25.5" customHeight="1" x14ac:dyDescent="0.3">
      <c r="A19" s="403" t="s">
        <v>469</v>
      </c>
      <c r="B19" s="780" t="s">
        <v>470</v>
      </c>
      <c r="C19" s="781"/>
      <c r="D19" s="404" t="s">
        <v>1</v>
      </c>
    </row>
    <row r="20" spans="1:4" ht="13.5" customHeight="1" x14ac:dyDescent="0.3">
      <c r="A20" s="405">
        <v>1</v>
      </c>
      <c r="B20" s="782">
        <v>2</v>
      </c>
      <c r="C20" s="783"/>
      <c r="D20" s="406">
        <v>3</v>
      </c>
    </row>
    <row r="21" spans="1:4" ht="15.6" x14ac:dyDescent="0.3">
      <c r="A21" s="776" t="s">
        <v>471</v>
      </c>
      <c r="B21" s="777"/>
      <c r="C21" s="777"/>
      <c r="D21" s="766"/>
    </row>
    <row r="22" spans="1:4" ht="65.25" customHeight="1" x14ac:dyDescent="0.3">
      <c r="A22" s="407">
        <v>41021400</v>
      </c>
      <c r="B22" s="784" t="s">
        <v>429</v>
      </c>
      <c r="C22" s="785"/>
      <c r="D22" s="408">
        <f>D23</f>
        <v>64371200</v>
      </c>
    </row>
    <row r="23" spans="1:4" ht="16.5" customHeight="1" x14ac:dyDescent="0.3">
      <c r="A23" s="409" t="s">
        <v>472</v>
      </c>
      <c r="B23" s="786" t="s">
        <v>473</v>
      </c>
      <c r="C23" s="787"/>
      <c r="D23" s="410">
        <f>53910900+10460300</f>
        <v>64371200</v>
      </c>
    </row>
    <row r="24" spans="1:4" ht="15.6" x14ac:dyDescent="0.3">
      <c r="A24" s="411" t="s">
        <v>432</v>
      </c>
      <c r="B24" s="412" t="s">
        <v>433</v>
      </c>
      <c r="C24" s="413"/>
      <c r="D24" s="414">
        <f>D25</f>
        <v>75510600</v>
      </c>
    </row>
    <row r="25" spans="1:4" ht="15.75" customHeight="1" x14ac:dyDescent="0.3">
      <c r="A25" s="415" t="s">
        <v>472</v>
      </c>
      <c r="B25" s="416" t="s">
        <v>473</v>
      </c>
      <c r="C25" s="417"/>
      <c r="D25" s="418">
        <v>75510600</v>
      </c>
    </row>
    <row r="26" spans="1:4" ht="15.75" customHeight="1" x14ac:dyDescent="0.3">
      <c r="A26" s="411">
        <v>41040400</v>
      </c>
      <c r="B26" s="769" t="s">
        <v>609</v>
      </c>
      <c r="C26" s="770"/>
      <c r="D26" s="414">
        <f>D27</f>
        <v>38667</v>
      </c>
    </row>
    <row r="27" spans="1:4" ht="15.75" customHeight="1" x14ac:dyDescent="0.3">
      <c r="A27" s="663">
        <v>15100000000</v>
      </c>
      <c r="B27" s="760" t="s">
        <v>474</v>
      </c>
      <c r="C27" s="761"/>
      <c r="D27" s="418">
        <v>38667</v>
      </c>
    </row>
    <row r="28" spans="1:4" ht="40.950000000000003" customHeight="1" x14ac:dyDescent="0.3">
      <c r="A28" s="411" t="s">
        <v>434</v>
      </c>
      <c r="B28" s="412" t="s">
        <v>435</v>
      </c>
      <c r="C28" s="413"/>
      <c r="D28" s="414">
        <f>D29</f>
        <v>1766200</v>
      </c>
    </row>
    <row r="29" spans="1:4" ht="15.75" customHeight="1" x14ac:dyDescent="0.3">
      <c r="A29" s="415">
        <v>15100000000</v>
      </c>
      <c r="B29" s="788" t="s">
        <v>474</v>
      </c>
      <c r="C29" s="789"/>
      <c r="D29" s="418">
        <v>1766200</v>
      </c>
    </row>
    <row r="30" spans="1:4" ht="43.95" customHeight="1" x14ac:dyDescent="0.3">
      <c r="A30" s="411">
        <v>41051700</v>
      </c>
      <c r="B30" s="769" t="s">
        <v>606</v>
      </c>
      <c r="C30" s="770"/>
      <c r="D30" s="414">
        <f>D31</f>
        <v>110550</v>
      </c>
    </row>
    <row r="31" spans="1:4" ht="15.75" customHeight="1" x14ac:dyDescent="0.3">
      <c r="A31" s="663">
        <v>15100000000</v>
      </c>
      <c r="B31" s="760" t="s">
        <v>474</v>
      </c>
      <c r="C31" s="761"/>
      <c r="D31" s="418">
        <v>110550</v>
      </c>
    </row>
    <row r="32" spans="1:4" s="421" customFormat="1" ht="30.75" customHeight="1" x14ac:dyDescent="0.25">
      <c r="A32" s="419">
        <v>41053900</v>
      </c>
      <c r="B32" s="762" t="s">
        <v>436</v>
      </c>
      <c r="C32" s="763"/>
      <c r="D32" s="420">
        <f>D33</f>
        <v>28193</v>
      </c>
    </row>
    <row r="33" spans="1:4" s="421" customFormat="1" ht="15.6" x14ac:dyDescent="0.3">
      <c r="A33" s="422" t="s">
        <v>475</v>
      </c>
      <c r="B33" s="774" t="s">
        <v>474</v>
      </c>
      <c r="C33" s="775"/>
      <c r="D33" s="423">
        <v>28193</v>
      </c>
    </row>
    <row r="34" spans="1:4" s="421" customFormat="1" ht="30.75" customHeight="1" x14ac:dyDescent="0.25">
      <c r="A34" s="419">
        <v>41053900</v>
      </c>
      <c r="B34" s="762" t="s">
        <v>437</v>
      </c>
      <c r="C34" s="763"/>
      <c r="D34" s="424">
        <f>D35</f>
        <v>91319</v>
      </c>
    </row>
    <row r="35" spans="1:4" s="421" customFormat="1" ht="18" customHeight="1" x14ac:dyDescent="0.25">
      <c r="A35" s="422" t="s">
        <v>475</v>
      </c>
      <c r="B35" s="760" t="s">
        <v>474</v>
      </c>
      <c r="C35" s="761"/>
      <c r="D35" s="423">
        <v>91319</v>
      </c>
    </row>
    <row r="36" spans="1:4" s="421" customFormat="1" ht="49.2" customHeight="1" x14ac:dyDescent="0.25">
      <c r="A36" s="419">
        <v>41053900</v>
      </c>
      <c r="B36" s="762" t="s">
        <v>438</v>
      </c>
      <c r="C36" s="763"/>
      <c r="D36" s="424">
        <f>D37</f>
        <v>17623</v>
      </c>
    </row>
    <row r="37" spans="1:4" s="421" customFormat="1" ht="15.6" x14ac:dyDescent="0.3">
      <c r="A37" s="422" t="s">
        <v>475</v>
      </c>
      <c r="B37" s="774" t="s">
        <v>474</v>
      </c>
      <c r="C37" s="775"/>
      <c r="D37" s="423">
        <v>17623</v>
      </c>
    </row>
    <row r="38" spans="1:4" s="421" customFormat="1" ht="46.2" customHeight="1" x14ac:dyDescent="0.25">
      <c r="A38" s="661" t="s">
        <v>616</v>
      </c>
      <c r="B38" s="762" t="s">
        <v>607</v>
      </c>
      <c r="C38" s="763"/>
      <c r="D38" s="662">
        <f>D39</f>
        <v>166311</v>
      </c>
    </row>
    <row r="39" spans="1:4" ht="15.6" x14ac:dyDescent="0.3">
      <c r="A39" s="663">
        <v>15100000000</v>
      </c>
      <c r="B39" s="760" t="s">
        <v>474</v>
      </c>
      <c r="C39" s="761"/>
      <c r="D39" s="425">
        <v>166311</v>
      </c>
    </row>
    <row r="40" spans="1:4" ht="15.6" x14ac:dyDescent="0.3">
      <c r="A40" s="776" t="s">
        <v>476</v>
      </c>
      <c r="B40" s="777"/>
      <c r="C40" s="777"/>
      <c r="D40" s="766"/>
    </row>
    <row r="41" spans="1:4" ht="37.200000000000003" customHeight="1" x14ac:dyDescent="0.3">
      <c r="A41" s="470">
        <v>41051100</v>
      </c>
      <c r="B41" s="769" t="s">
        <v>488</v>
      </c>
      <c r="C41" s="770"/>
      <c r="D41" s="471">
        <f>D42</f>
        <v>696780</v>
      </c>
    </row>
    <row r="42" spans="1:4" ht="15.6" x14ac:dyDescent="0.3">
      <c r="A42" s="422" t="s">
        <v>475</v>
      </c>
      <c r="B42" s="760" t="s">
        <v>474</v>
      </c>
      <c r="C42" s="761"/>
      <c r="D42" s="410">
        <v>696780</v>
      </c>
    </row>
    <row r="43" spans="1:4" s="427" customFormat="1" ht="9" customHeight="1" x14ac:dyDescent="0.3">
      <c r="A43" s="411"/>
      <c r="B43" s="412"/>
      <c r="C43" s="413"/>
      <c r="D43" s="426"/>
    </row>
    <row r="44" spans="1:4" ht="15.6" x14ac:dyDescent="0.3">
      <c r="A44" s="428" t="s">
        <v>6</v>
      </c>
      <c r="B44" s="429" t="s">
        <v>477</v>
      </c>
      <c r="C44" s="413"/>
      <c r="D44" s="430">
        <f>D45+D46</f>
        <v>142797443</v>
      </c>
    </row>
    <row r="45" spans="1:4" ht="15.6" x14ac:dyDescent="0.3">
      <c r="A45" s="428" t="s">
        <v>6</v>
      </c>
      <c r="B45" s="429" t="s">
        <v>478</v>
      </c>
      <c r="C45" s="413"/>
      <c r="D45" s="430">
        <f>D22+D24+D28+D32+D34+D36+D38+D30+D26</f>
        <v>142100663</v>
      </c>
    </row>
    <row r="46" spans="1:4" ht="15.6" x14ac:dyDescent="0.3">
      <c r="A46" s="428" t="s">
        <v>6</v>
      </c>
      <c r="B46" s="429" t="s">
        <v>479</v>
      </c>
      <c r="C46" s="413"/>
      <c r="D46" s="430">
        <f>D41</f>
        <v>696780</v>
      </c>
    </row>
    <row r="47" spans="1:4" ht="21.9" customHeight="1" x14ac:dyDescent="0.3">
      <c r="A47" s="431" t="s">
        <v>480</v>
      </c>
      <c r="B47" s="1"/>
      <c r="C47" s="1"/>
      <c r="D47" s="432" t="s">
        <v>297</v>
      </c>
    </row>
    <row r="48" spans="1:4" ht="48.75" customHeight="1" x14ac:dyDescent="0.3">
      <c r="A48" s="433" t="s">
        <v>481</v>
      </c>
      <c r="B48" s="434" t="s">
        <v>482</v>
      </c>
      <c r="C48" s="435" t="s">
        <v>483</v>
      </c>
      <c r="D48" s="436" t="s">
        <v>1</v>
      </c>
    </row>
    <row r="49" spans="1:16" ht="15.6" x14ac:dyDescent="0.3">
      <c r="A49" s="437">
        <v>1</v>
      </c>
      <c r="B49" s="438">
        <v>2</v>
      </c>
      <c r="C49" s="438">
        <v>3</v>
      </c>
      <c r="D49" s="439">
        <v>4</v>
      </c>
    </row>
    <row r="50" spans="1:16" ht="15.75" customHeight="1" x14ac:dyDescent="0.3">
      <c r="A50" s="771" t="s">
        <v>484</v>
      </c>
      <c r="B50" s="772"/>
      <c r="C50" s="773"/>
      <c r="D50" s="440"/>
    </row>
    <row r="51" spans="1:16" s="444" customFormat="1" ht="37.950000000000003" hidden="1" customHeight="1" x14ac:dyDescent="0.3">
      <c r="A51" s="441">
        <v>41053900</v>
      </c>
      <c r="B51" s="442">
        <v>9770</v>
      </c>
      <c r="C51" s="443" t="s">
        <v>485</v>
      </c>
      <c r="D51" s="440">
        <f>D52</f>
        <v>0</v>
      </c>
    </row>
    <row r="52" spans="1:16" ht="24" hidden="1" customHeight="1" x14ac:dyDescent="0.3">
      <c r="A52" s="415">
        <v>15327200000</v>
      </c>
      <c r="B52" s="445"/>
      <c r="C52" s="446" t="s">
        <v>486</v>
      </c>
      <c r="D52" s="447">
        <f>300000-300000</f>
        <v>0</v>
      </c>
    </row>
    <row r="53" spans="1:16" ht="34.200000000000003" customHeight="1" x14ac:dyDescent="0.3">
      <c r="A53" s="472" t="s">
        <v>490</v>
      </c>
      <c r="B53" s="473">
        <v>9800</v>
      </c>
      <c r="C53" s="474" t="s">
        <v>491</v>
      </c>
      <c r="D53" s="440">
        <f>D54</f>
        <v>22464464</v>
      </c>
    </row>
    <row r="54" spans="1:16" ht="15" customHeight="1" x14ac:dyDescent="0.3">
      <c r="A54" s="475" t="s">
        <v>472</v>
      </c>
      <c r="B54" s="476">
        <v>9800</v>
      </c>
      <c r="C54" s="477" t="s">
        <v>473</v>
      </c>
      <c r="D54" s="447">
        <f>5000000+1500000+521164+850000+63000+30300+14500000</f>
        <v>22464464</v>
      </c>
    </row>
    <row r="55" spans="1:16" ht="12" customHeight="1" x14ac:dyDescent="0.3">
      <c r="A55" s="422"/>
      <c r="B55" s="448"/>
      <c r="C55" s="449"/>
      <c r="D55" s="450"/>
    </row>
    <row r="56" spans="1:16" ht="20.100000000000001" customHeight="1" x14ac:dyDescent="0.3">
      <c r="A56" s="764" t="s">
        <v>487</v>
      </c>
      <c r="B56" s="765"/>
      <c r="C56" s="765"/>
      <c r="D56" s="766"/>
    </row>
    <row r="57" spans="1:16" ht="34.950000000000003" customHeight="1" x14ac:dyDescent="0.3">
      <c r="A57" s="472" t="s">
        <v>490</v>
      </c>
      <c r="B57" s="473">
        <v>9800</v>
      </c>
      <c r="C57" s="474" t="s">
        <v>491</v>
      </c>
      <c r="D57" s="440">
        <f>D58</f>
        <v>17923400</v>
      </c>
    </row>
    <row r="58" spans="1:16" ht="17.25" customHeight="1" x14ac:dyDescent="0.3">
      <c r="A58" s="475" t="s">
        <v>472</v>
      </c>
      <c r="B58" s="476">
        <v>9800</v>
      </c>
      <c r="C58" s="477" t="s">
        <v>473</v>
      </c>
      <c r="D58" s="447">
        <f>1000000+150000+2937000+26000+310400+13500000</f>
        <v>17923400</v>
      </c>
    </row>
    <row r="59" spans="1:16" ht="11.25" customHeight="1" x14ac:dyDescent="0.3">
      <c r="A59" s="475"/>
      <c r="B59" s="476"/>
      <c r="C59" s="535"/>
      <c r="D59" s="447"/>
    </row>
    <row r="60" spans="1:16" ht="15.6" x14ac:dyDescent="0.3">
      <c r="A60" s="451" t="s">
        <v>6</v>
      </c>
      <c r="B60" s="452" t="s">
        <v>6</v>
      </c>
      <c r="C60" s="429" t="s">
        <v>477</v>
      </c>
      <c r="D60" s="440">
        <f>D61+D62</f>
        <v>40387864</v>
      </c>
    </row>
    <row r="61" spans="1:16" ht="21" customHeight="1" x14ac:dyDescent="0.3">
      <c r="A61" s="451" t="s">
        <v>6</v>
      </c>
      <c r="B61" s="452" t="s">
        <v>6</v>
      </c>
      <c r="C61" s="429" t="s">
        <v>478</v>
      </c>
      <c r="D61" s="453">
        <f>D53</f>
        <v>22464464</v>
      </c>
    </row>
    <row r="62" spans="1:16" ht="18" customHeight="1" thickBot="1" x14ac:dyDescent="0.35">
      <c r="A62" s="454" t="s">
        <v>6</v>
      </c>
      <c r="B62" s="455" t="s">
        <v>6</v>
      </c>
      <c r="C62" s="456" t="s">
        <v>479</v>
      </c>
      <c r="D62" s="457">
        <f>D57</f>
        <v>17923400</v>
      </c>
    </row>
    <row r="63" spans="1:16" ht="15.6" hidden="1" x14ac:dyDescent="0.3">
      <c r="A63" s="1"/>
      <c r="B63" s="1"/>
      <c r="C63" s="1"/>
      <c r="D63" s="1"/>
    </row>
    <row r="64" spans="1:16" s="199" customFormat="1" ht="42.6" customHeight="1" x14ac:dyDescent="0.35">
      <c r="A64" s="767" t="s">
        <v>548</v>
      </c>
      <c r="B64" s="767"/>
      <c r="C64" s="767"/>
      <c r="D64" s="767"/>
      <c r="E64" s="768"/>
      <c r="F64" s="768"/>
      <c r="G64" s="458"/>
      <c r="H64" s="458"/>
      <c r="I64" s="458"/>
      <c r="K64" s="458"/>
      <c r="L64" s="459"/>
      <c r="M64" s="458"/>
      <c r="N64" s="460"/>
      <c r="O64" s="461"/>
      <c r="P64" s="462"/>
    </row>
    <row r="65" spans="1:4" s="465" customFormat="1" ht="20.399999999999999" customHeight="1" x14ac:dyDescent="0.35">
      <c r="A65" s="463"/>
      <c r="B65" s="464"/>
      <c r="C65" s="1"/>
      <c r="D65" s="464"/>
    </row>
    <row r="66" spans="1:4" ht="15.6" x14ac:dyDescent="0.3">
      <c r="A66" s="1"/>
      <c r="B66" s="1"/>
      <c r="D66" s="1"/>
    </row>
  </sheetData>
  <mergeCells count="30">
    <mergeCell ref="C5:D5"/>
    <mergeCell ref="B33:C33"/>
    <mergeCell ref="C13:D13"/>
    <mergeCell ref="A14:D14"/>
    <mergeCell ref="A15:D15"/>
    <mergeCell ref="A16:D16"/>
    <mergeCell ref="B19:C19"/>
    <mergeCell ref="B20:C20"/>
    <mergeCell ref="A21:D21"/>
    <mergeCell ref="B22:C22"/>
    <mergeCell ref="B23:C23"/>
    <mergeCell ref="B29:C29"/>
    <mergeCell ref="B32:C32"/>
    <mergeCell ref="B26:C26"/>
    <mergeCell ref="B27:C27"/>
    <mergeCell ref="B30:C30"/>
    <mergeCell ref="E64:F64"/>
    <mergeCell ref="B41:C41"/>
    <mergeCell ref="B42:C42"/>
    <mergeCell ref="A50:C50"/>
    <mergeCell ref="B34:C34"/>
    <mergeCell ref="B35:C35"/>
    <mergeCell ref="B36:C36"/>
    <mergeCell ref="B37:C37"/>
    <mergeCell ref="A40:D40"/>
    <mergeCell ref="B31:C31"/>
    <mergeCell ref="B38:C38"/>
    <mergeCell ref="B39:C39"/>
    <mergeCell ref="A56:D56"/>
    <mergeCell ref="A64:D64"/>
  </mergeCells>
  <pageMargins left="1.1811023622047245" right="0.39370078740157483" top="0.78740157480314965" bottom="0.78740157480314965"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
  <sheetViews>
    <sheetView view="pageBreakPreview" topLeftCell="A102" zoomScale="89" zoomScaleNormal="80" zoomScaleSheetLayoutView="89" workbookViewId="0">
      <selection activeCell="I98" sqref="I98"/>
    </sheetView>
  </sheetViews>
  <sheetFormatPr defaultColWidth="9.109375" defaultRowHeight="13.8" x14ac:dyDescent="0.25"/>
  <cols>
    <col min="1" max="1" width="13" style="11" customWidth="1"/>
    <col min="2" max="2" width="12.5546875" style="11" customWidth="1"/>
    <col min="3" max="3" width="13.44140625" style="11" customWidth="1"/>
    <col min="4" max="4" width="38.5546875" style="11" customWidth="1"/>
    <col min="5" max="5" width="43.88671875" style="11" customWidth="1"/>
    <col min="6" max="6" width="42.109375" style="11" customWidth="1"/>
    <col min="7" max="7" width="14" style="11" customWidth="1"/>
    <col min="8" max="8" width="14.6640625" style="11" customWidth="1"/>
    <col min="9" max="9" width="14.5546875" style="11" customWidth="1"/>
    <col min="10" max="10" width="14.88671875" style="11" customWidth="1"/>
    <col min="11" max="16384" width="9.109375" style="11"/>
  </cols>
  <sheetData>
    <row r="1" spans="1:10" customFormat="1" ht="15.6" x14ac:dyDescent="0.3">
      <c r="D1" s="11"/>
      <c r="E1" s="11"/>
      <c r="F1" s="5"/>
      <c r="H1" s="177" t="s">
        <v>549</v>
      </c>
      <c r="I1" s="4"/>
    </row>
    <row r="2" spans="1:10" customFormat="1" ht="15.6" x14ac:dyDescent="0.3">
      <c r="D2" s="11"/>
      <c r="E2" s="11"/>
      <c r="F2" s="5"/>
      <c r="H2" s="177" t="s">
        <v>631</v>
      </c>
      <c r="I2" s="4"/>
    </row>
    <row r="3" spans="1:10" customFormat="1" ht="15.6" x14ac:dyDescent="0.3">
      <c r="D3" s="11"/>
      <c r="E3" s="11"/>
      <c r="F3" s="5"/>
      <c r="H3" s="178" t="s">
        <v>617</v>
      </c>
      <c r="I3" s="7"/>
    </row>
    <row r="4" spans="1:10" customFormat="1" ht="15.6" x14ac:dyDescent="0.3">
      <c r="D4" s="11"/>
      <c r="E4" s="11"/>
      <c r="F4" s="5"/>
      <c r="H4" s="179" t="s">
        <v>618</v>
      </c>
      <c r="I4" s="180"/>
    </row>
    <row r="5" spans="1:10" customFormat="1" ht="15.6" x14ac:dyDescent="0.3">
      <c r="D5" s="11"/>
      <c r="E5" s="11"/>
      <c r="F5" s="5"/>
      <c r="H5" s="724" t="s">
        <v>555</v>
      </c>
      <c r="I5" s="724"/>
    </row>
    <row r="7" spans="1:10" ht="15.6" x14ac:dyDescent="0.25">
      <c r="H7" s="3" t="s">
        <v>556</v>
      </c>
      <c r="I7" s="4"/>
      <c r="J7" s="5"/>
    </row>
    <row r="8" spans="1:10" ht="15.6" x14ac:dyDescent="0.25">
      <c r="H8" s="3" t="s">
        <v>7</v>
      </c>
      <c r="I8" s="4"/>
      <c r="J8" s="5"/>
    </row>
    <row r="9" spans="1:10" ht="15.6" x14ac:dyDescent="0.25">
      <c r="H9" s="3" t="s">
        <v>8</v>
      </c>
      <c r="I9" s="4"/>
      <c r="J9" s="5"/>
    </row>
    <row r="10" spans="1:10" ht="15.6" x14ac:dyDescent="0.25">
      <c r="H10" s="3" t="s">
        <v>228</v>
      </c>
      <c r="I10" s="4"/>
      <c r="J10" s="5"/>
    </row>
    <row r="11" spans="1:10" ht="15.6" x14ac:dyDescent="0.3">
      <c r="H11" s="6" t="s">
        <v>550</v>
      </c>
      <c r="I11" s="7"/>
      <c r="J11" s="5"/>
    </row>
    <row r="12" spans="1:10" ht="15.6" x14ac:dyDescent="0.3">
      <c r="H12" s="6" t="s">
        <v>286</v>
      </c>
      <c r="I12" s="180"/>
      <c r="J12" s="5"/>
    </row>
    <row r="13" spans="1:10" ht="15.6" x14ac:dyDescent="0.25">
      <c r="H13" s="5" t="s">
        <v>327</v>
      </c>
      <c r="I13" s="3"/>
      <c r="J13" s="5"/>
    </row>
    <row r="14" spans="1:10" ht="15.6" x14ac:dyDescent="0.25">
      <c r="I14" s="5"/>
      <c r="J14" s="12"/>
    </row>
    <row r="15" spans="1:10" ht="15.6" x14ac:dyDescent="0.25">
      <c r="H15" s="5"/>
      <c r="I15" s="5"/>
      <c r="J15" s="12"/>
    </row>
    <row r="16" spans="1:10" ht="21" x14ac:dyDescent="0.4">
      <c r="A16" s="736" t="s">
        <v>229</v>
      </c>
      <c r="B16" s="737"/>
      <c r="C16" s="737"/>
      <c r="D16" s="737"/>
      <c r="E16" s="737"/>
      <c r="F16" s="737"/>
      <c r="G16" s="737"/>
      <c r="H16" s="737"/>
      <c r="I16" s="737"/>
      <c r="J16" s="737"/>
    </row>
    <row r="18" spans="1:10" ht="15.6" x14ac:dyDescent="0.3">
      <c r="A18" s="792">
        <v>1559100000</v>
      </c>
      <c r="B18" s="792"/>
    </row>
    <row r="19" spans="1:10" ht="16.2" thickBot="1" x14ac:dyDescent="0.35">
      <c r="A19" s="1" t="s">
        <v>0</v>
      </c>
      <c r="B19" s="1"/>
      <c r="J19" s="13" t="s">
        <v>9</v>
      </c>
    </row>
    <row r="20" spans="1:10" ht="15.6" x14ac:dyDescent="0.25">
      <c r="A20" s="793" t="s">
        <v>10</v>
      </c>
      <c r="B20" s="795" t="s">
        <v>11</v>
      </c>
      <c r="C20" s="795" t="s">
        <v>12</v>
      </c>
      <c r="D20" s="797" t="s">
        <v>13</v>
      </c>
      <c r="E20" s="715" t="s">
        <v>151</v>
      </c>
      <c r="F20" s="715" t="s">
        <v>152</v>
      </c>
      <c r="G20" s="741" t="s">
        <v>1</v>
      </c>
      <c r="H20" s="715" t="s">
        <v>2</v>
      </c>
      <c r="I20" s="715" t="s">
        <v>3</v>
      </c>
      <c r="J20" s="717"/>
    </row>
    <row r="21" spans="1:10" ht="106.5" customHeight="1" thickBot="1" x14ac:dyDescent="0.3">
      <c r="A21" s="794"/>
      <c r="B21" s="796"/>
      <c r="C21" s="796"/>
      <c r="D21" s="798"/>
      <c r="E21" s="791"/>
      <c r="F21" s="791"/>
      <c r="G21" s="743"/>
      <c r="H21" s="791"/>
      <c r="I21" s="540" t="s">
        <v>4</v>
      </c>
      <c r="J21" s="14" t="s">
        <v>5</v>
      </c>
    </row>
    <row r="22" spans="1:10" ht="16.2" thickBot="1" x14ac:dyDescent="0.3">
      <c r="A22" s="15">
        <v>1</v>
      </c>
      <c r="B22" s="16">
        <v>2</v>
      </c>
      <c r="C22" s="16">
        <v>3</v>
      </c>
      <c r="D22" s="73">
        <v>4</v>
      </c>
      <c r="E22" s="16">
        <v>5</v>
      </c>
      <c r="F22" s="16">
        <v>6</v>
      </c>
      <c r="G22" s="17">
        <v>7</v>
      </c>
      <c r="H22" s="16">
        <v>8</v>
      </c>
      <c r="I22" s="18">
        <v>9</v>
      </c>
      <c r="J22" s="19">
        <v>10</v>
      </c>
    </row>
    <row r="23" spans="1:10" ht="47.4" thickBot="1" x14ac:dyDescent="0.3">
      <c r="A23" s="114" t="s">
        <v>15</v>
      </c>
      <c r="B23" s="115" t="s">
        <v>16</v>
      </c>
      <c r="C23" s="115" t="s">
        <v>16</v>
      </c>
      <c r="D23" s="116" t="s">
        <v>17</v>
      </c>
      <c r="E23" s="117" t="s">
        <v>16</v>
      </c>
      <c r="F23" s="117" t="s">
        <v>16</v>
      </c>
      <c r="G23" s="23">
        <f t="shared" ref="G23:G28" si="0">H23+I23</f>
        <v>91018705</v>
      </c>
      <c r="H23" s="23">
        <f>H24</f>
        <v>72669541</v>
      </c>
      <c r="I23" s="24">
        <f>I24</f>
        <v>18349164</v>
      </c>
      <c r="J23" s="25">
        <f>J24</f>
        <v>18349164</v>
      </c>
    </row>
    <row r="24" spans="1:10" ht="46.8" x14ac:dyDescent="0.25">
      <c r="A24" s="42" t="s">
        <v>18</v>
      </c>
      <c r="B24" s="43" t="s">
        <v>16</v>
      </c>
      <c r="C24" s="43" t="s">
        <v>16</v>
      </c>
      <c r="D24" s="56" t="s">
        <v>17</v>
      </c>
      <c r="E24" s="28" t="s">
        <v>16</v>
      </c>
      <c r="F24" s="28" t="s">
        <v>16</v>
      </c>
      <c r="G24" s="39">
        <f>H24+I24</f>
        <v>91018705</v>
      </c>
      <c r="H24" s="40">
        <f>H25+H26+H27+H28+H29+H30+H31+H32+H33+H35+H34+H36+H37+H38+H39</f>
        <v>72669541</v>
      </c>
      <c r="I24" s="40">
        <f>I25+I26+I27+I28+I29+I30+I31+I32+I33+I35+I34+I36+I37+I38+I39</f>
        <v>18349164</v>
      </c>
      <c r="J24" s="41">
        <f>J25+J26+J27+J28+J29+J30+J31+J32+J33+J35+J34+J36+J37+J38+J39</f>
        <v>18349164</v>
      </c>
    </row>
    <row r="25" spans="1:10" ht="100.2" customHeight="1" x14ac:dyDescent="0.25">
      <c r="A25" s="538" t="s">
        <v>173</v>
      </c>
      <c r="B25" s="537" t="s">
        <v>174</v>
      </c>
      <c r="C25" s="537" t="s">
        <v>19</v>
      </c>
      <c r="D25" s="32" t="s">
        <v>175</v>
      </c>
      <c r="E25" s="32" t="s">
        <v>273</v>
      </c>
      <c r="F25" s="79" t="s">
        <v>509</v>
      </c>
      <c r="G25" s="8">
        <f t="shared" si="0"/>
        <v>227652</v>
      </c>
      <c r="H25" s="8">
        <v>227652</v>
      </c>
      <c r="I25" s="566"/>
      <c r="J25" s="567"/>
    </row>
    <row r="26" spans="1:10" ht="145.94999999999999" customHeight="1" x14ac:dyDescent="0.25">
      <c r="A26" s="143" t="s">
        <v>501</v>
      </c>
      <c r="B26" s="94" t="s">
        <v>226</v>
      </c>
      <c r="C26" s="94" t="s">
        <v>224</v>
      </c>
      <c r="D26" s="95" t="s">
        <v>230</v>
      </c>
      <c r="E26" s="50" t="s">
        <v>231</v>
      </c>
      <c r="F26" s="79" t="s">
        <v>568</v>
      </c>
      <c r="G26" s="29">
        <f t="shared" si="0"/>
        <v>109000</v>
      </c>
      <c r="H26" s="30">
        <f>141000-32000</f>
        <v>109000</v>
      </c>
      <c r="I26" s="40"/>
      <c r="J26" s="41"/>
    </row>
    <row r="27" spans="1:10" ht="80.400000000000006" customHeight="1" x14ac:dyDescent="0.25">
      <c r="A27" s="66" t="s">
        <v>20</v>
      </c>
      <c r="B27" s="537" t="s">
        <v>21</v>
      </c>
      <c r="C27" s="537" t="s">
        <v>22</v>
      </c>
      <c r="D27" s="57" t="s">
        <v>23</v>
      </c>
      <c r="E27" s="79" t="s">
        <v>163</v>
      </c>
      <c r="F27" s="32" t="s">
        <v>232</v>
      </c>
      <c r="G27" s="8">
        <f t="shared" si="0"/>
        <v>8498226</v>
      </c>
      <c r="H27" s="33">
        <v>8498226</v>
      </c>
      <c r="I27" s="33">
        <v>0</v>
      </c>
      <c r="J27" s="34">
        <v>0</v>
      </c>
    </row>
    <row r="28" spans="1:10" ht="90" customHeight="1" x14ac:dyDescent="0.25">
      <c r="A28" s="66" t="s">
        <v>20</v>
      </c>
      <c r="B28" s="537" t="s">
        <v>21</v>
      </c>
      <c r="C28" s="537" t="s">
        <v>22</v>
      </c>
      <c r="D28" s="57" t="s">
        <v>23</v>
      </c>
      <c r="E28" s="79" t="s">
        <v>162</v>
      </c>
      <c r="F28" s="79" t="s">
        <v>573</v>
      </c>
      <c r="G28" s="8">
        <f t="shared" si="0"/>
        <v>14427648</v>
      </c>
      <c r="H28" s="33">
        <v>14427648</v>
      </c>
      <c r="I28" s="33">
        <v>0</v>
      </c>
      <c r="J28" s="34">
        <v>0</v>
      </c>
    </row>
    <row r="29" spans="1:10" ht="70.95" customHeight="1" x14ac:dyDescent="0.25">
      <c r="A29" s="66" t="s">
        <v>24</v>
      </c>
      <c r="B29" s="537" t="s">
        <v>25</v>
      </c>
      <c r="C29" s="537" t="s">
        <v>26</v>
      </c>
      <c r="D29" s="57" t="s">
        <v>27</v>
      </c>
      <c r="E29" s="32" t="s">
        <v>233</v>
      </c>
      <c r="F29" s="79" t="s">
        <v>287</v>
      </c>
      <c r="G29" s="8">
        <f t="shared" ref="G29:G35" si="1">H29+I29</f>
        <v>928980</v>
      </c>
      <c r="H29" s="33">
        <v>556580</v>
      </c>
      <c r="I29" s="33">
        <f>J29</f>
        <v>372400</v>
      </c>
      <c r="J29" s="34">
        <v>372400</v>
      </c>
    </row>
    <row r="30" spans="1:10" ht="72" customHeight="1" x14ac:dyDescent="0.25">
      <c r="A30" s="96" t="s">
        <v>240</v>
      </c>
      <c r="B30" s="10">
        <v>2152</v>
      </c>
      <c r="C30" s="97" t="s">
        <v>241</v>
      </c>
      <c r="D30" s="75" t="s">
        <v>27</v>
      </c>
      <c r="E30" s="86" t="s">
        <v>234</v>
      </c>
      <c r="F30" s="113" t="s">
        <v>288</v>
      </c>
      <c r="G30" s="36">
        <f t="shared" si="1"/>
        <v>2810623</v>
      </c>
      <c r="H30" s="37">
        <v>2810623</v>
      </c>
      <c r="I30" s="33">
        <f t="shared" ref="I30:I35" si="2">J30</f>
        <v>0</v>
      </c>
      <c r="J30" s="38">
        <v>0</v>
      </c>
    </row>
    <row r="31" spans="1:10" ht="66" customHeight="1" x14ac:dyDescent="0.25">
      <c r="A31" s="66" t="s">
        <v>31</v>
      </c>
      <c r="B31" s="537" t="s">
        <v>32</v>
      </c>
      <c r="C31" s="537" t="s">
        <v>33</v>
      </c>
      <c r="D31" s="32" t="s">
        <v>34</v>
      </c>
      <c r="E31" s="32" t="s">
        <v>505</v>
      </c>
      <c r="F31" s="79" t="s">
        <v>506</v>
      </c>
      <c r="G31" s="8">
        <f t="shared" si="1"/>
        <v>409910</v>
      </c>
      <c r="H31" s="33">
        <f>72000+284546</f>
        <v>356546</v>
      </c>
      <c r="I31" s="33">
        <f t="shared" si="2"/>
        <v>53364</v>
      </c>
      <c r="J31" s="34">
        <f>53364</f>
        <v>53364</v>
      </c>
    </row>
    <row r="32" spans="1:10" ht="63.6" hidden="1" customHeight="1" x14ac:dyDescent="0.25">
      <c r="A32" s="48" t="s">
        <v>31</v>
      </c>
      <c r="B32" s="49" t="s">
        <v>32</v>
      </c>
      <c r="C32" s="49" t="s">
        <v>33</v>
      </c>
      <c r="D32" s="59" t="s">
        <v>34</v>
      </c>
      <c r="E32" s="50"/>
      <c r="F32" s="50"/>
      <c r="G32" s="29">
        <f t="shared" si="1"/>
        <v>0</v>
      </c>
      <c r="H32" s="30"/>
      <c r="I32" s="33">
        <f t="shared" si="2"/>
        <v>0</v>
      </c>
      <c r="J32" s="31">
        <v>0</v>
      </c>
    </row>
    <row r="33" spans="1:10" ht="67.5" customHeight="1" x14ac:dyDescent="0.25">
      <c r="A33" s="66" t="s">
        <v>35</v>
      </c>
      <c r="B33" s="537" t="s">
        <v>36</v>
      </c>
      <c r="C33" s="537" t="s">
        <v>37</v>
      </c>
      <c r="D33" s="57" t="s">
        <v>38</v>
      </c>
      <c r="E33" s="32" t="s">
        <v>153</v>
      </c>
      <c r="F33" s="32" t="s">
        <v>235</v>
      </c>
      <c r="G33" s="8">
        <f t="shared" si="1"/>
        <v>6000</v>
      </c>
      <c r="H33" s="33">
        <v>6000</v>
      </c>
      <c r="I33" s="33">
        <f t="shared" si="2"/>
        <v>0</v>
      </c>
      <c r="J33" s="34">
        <v>0</v>
      </c>
    </row>
    <row r="34" spans="1:10" ht="66.599999999999994" customHeight="1" x14ac:dyDescent="0.25">
      <c r="A34" s="54" t="s">
        <v>159</v>
      </c>
      <c r="B34" s="539">
        <v>8230</v>
      </c>
      <c r="C34" s="537" t="s">
        <v>37</v>
      </c>
      <c r="D34" s="58" t="s">
        <v>160</v>
      </c>
      <c r="E34" s="80" t="s">
        <v>164</v>
      </c>
      <c r="F34" s="32" t="s">
        <v>504</v>
      </c>
      <c r="G34" s="8">
        <f t="shared" si="1"/>
        <v>19833100</v>
      </c>
      <c r="H34" s="33">
        <f>20061160-228060</f>
        <v>19833100</v>
      </c>
      <c r="I34" s="33">
        <f t="shared" si="2"/>
        <v>0</v>
      </c>
      <c r="J34" s="34">
        <v>0</v>
      </c>
    </row>
    <row r="35" spans="1:10" ht="118.95" customHeight="1" x14ac:dyDescent="0.25">
      <c r="A35" s="9" t="s">
        <v>39</v>
      </c>
      <c r="B35" s="10" t="s">
        <v>40</v>
      </c>
      <c r="C35" s="10" t="s">
        <v>41</v>
      </c>
      <c r="D35" s="75" t="s">
        <v>42</v>
      </c>
      <c r="E35" s="35" t="s">
        <v>236</v>
      </c>
      <c r="F35" s="113" t="s">
        <v>508</v>
      </c>
      <c r="G35" s="36">
        <f t="shared" si="1"/>
        <v>3379702</v>
      </c>
      <c r="H35" s="37">
        <v>3379702</v>
      </c>
      <c r="I35" s="33">
        <f t="shared" si="2"/>
        <v>0</v>
      </c>
      <c r="J35" s="38">
        <v>0</v>
      </c>
    </row>
    <row r="36" spans="1:10" ht="105.6" customHeight="1" x14ac:dyDescent="0.25">
      <c r="A36" s="533" t="s">
        <v>490</v>
      </c>
      <c r="B36" s="10">
        <v>9800</v>
      </c>
      <c r="C36" s="97" t="s">
        <v>226</v>
      </c>
      <c r="D36" s="113" t="s">
        <v>491</v>
      </c>
      <c r="E36" s="35" t="s">
        <v>507</v>
      </c>
      <c r="F36" s="113" t="s">
        <v>620</v>
      </c>
      <c r="G36" s="36">
        <f t="shared" ref="G36:G41" si="3">H36+I36</f>
        <v>35500000</v>
      </c>
      <c r="H36" s="37">
        <f>5000000+1500000+850000+63000-1500000+10000000+2000000</f>
        <v>17913000</v>
      </c>
      <c r="I36" s="37">
        <f>J36</f>
        <v>17587000</v>
      </c>
      <c r="J36" s="38">
        <f>1000000+150000+2937000+1500000+4000000+3000000+5000000</f>
        <v>17587000</v>
      </c>
    </row>
    <row r="37" spans="1:10" ht="75.599999999999994" customHeight="1" x14ac:dyDescent="0.25">
      <c r="A37" s="533" t="s">
        <v>490</v>
      </c>
      <c r="B37" s="10">
        <v>9800</v>
      </c>
      <c r="C37" s="97" t="s">
        <v>226</v>
      </c>
      <c r="D37" s="113" t="s">
        <v>491</v>
      </c>
      <c r="E37" s="35" t="s">
        <v>566</v>
      </c>
      <c r="F37" s="113" t="s">
        <v>569</v>
      </c>
      <c r="G37" s="679">
        <f t="shared" si="3"/>
        <v>831564</v>
      </c>
      <c r="H37" s="679">
        <f>0+521164</f>
        <v>521164</v>
      </c>
      <c r="I37" s="679">
        <f>J37</f>
        <v>310400</v>
      </c>
      <c r="J37" s="680">
        <f>0+310400</f>
        <v>310400</v>
      </c>
    </row>
    <row r="38" spans="1:10" ht="66" customHeight="1" x14ac:dyDescent="0.25">
      <c r="A38" s="174" t="s">
        <v>490</v>
      </c>
      <c r="B38" s="605">
        <v>9800</v>
      </c>
      <c r="C38" s="94" t="s">
        <v>226</v>
      </c>
      <c r="D38" s="79" t="s">
        <v>491</v>
      </c>
      <c r="E38" s="32" t="s">
        <v>564</v>
      </c>
      <c r="F38" s="79" t="s">
        <v>570</v>
      </c>
      <c r="G38" s="681">
        <f t="shared" si="3"/>
        <v>56300</v>
      </c>
      <c r="H38" s="681">
        <f>0+30300</f>
        <v>30300</v>
      </c>
      <c r="I38" s="681">
        <f>J38</f>
        <v>26000</v>
      </c>
      <c r="J38" s="680">
        <f>0+26000</f>
        <v>26000</v>
      </c>
    </row>
    <row r="39" spans="1:10" ht="78" customHeight="1" thickBot="1" x14ac:dyDescent="0.3">
      <c r="A39" s="96" t="s">
        <v>490</v>
      </c>
      <c r="B39" s="16">
        <v>9800</v>
      </c>
      <c r="C39" s="101" t="s">
        <v>226</v>
      </c>
      <c r="D39" s="684" t="s">
        <v>491</v>
      </c>
      <c r="E39" s="86" t="s">
        <v>619</v>
      </c>
      <c r="F39" s="79" t="s">
        <v>628</v>
      </c>
      <c r="G39" s="681">
        <f t="shared" si="3"/>
        <v>4000000</v>
      </c>
      <c r="H39" s="682">
        <v>4000000</v>
      </c>
      <c r="I39" s="682"/>
      <c r="J39" s="683"/>
    </row>
    <row r="40" spans="1:10" ht="55.2" customHeight="1" thickBot="1" x14ac:dyDescent="0.3">
      <c r="A40" s="114" t="s">
        <v>43</v>
      </c>
      <c r="B40" s="115" t="s">
        <v>16</v>
      </c>
      <c r="C40" s="115" t="s">
        <v>16</v>
      </c>
      <c r="D40" s="116" t="s">
        <v>44</v>
      </c>
      <c r="E40" s="117" t="s">
        <v>16</v>
      </c>
      <c r="F40" s="117" t="s">
        <v>16</v>
      </c>
      <c r="G40" s="23">
        <f t="shared" si="3"/>
        <v>11579263</v>
      </c>
      <c r="H40" s="23">
        <f>H41</f>
        <v>10882483</v>
      </c>
      <c r="I40" s="23">
        <f>I41</f>
        <v>696780</v>
      </c>
      <c r="J40" s="118">
        <f>J41</f>
        <v>0</v>
      </c>
    </row>
    <row r="41" spans="1:10" ht="46.8" x14ac:dyDescent="0.25">
      <c r="A41" s="26" t="s">
        <v>45</v>
      </c>
      <c r="B41" s="27" t="s">
        <v>16</v>
      </c>
      <c r="C41" s="27" t="s">
        <v>16</v>
      </c>
      <c r="D41" s="56" t="s">
        <v>44</v>
      </c>
      <c r="E41" s="28" t="s">
        <v>16</v>
      </c>
      <c r="F41" s="28" t="s">
        <v>16</v>
      </c>
      <c r="G41" s="39">
        <f t="shared" si="3"/>
        <v>11579263</v>
      </c>
      <c r="H41" s="40">
        <f>H42+H43+H44+H45+H46+H47+H48+H49+H50+H51</f>
        <v>10882483</v>
      </c>
      <c r="I41" s="40">
        <f>I42+I43+I44+I45+I46+I47+I48+I49+I50+I51</f>
        <v>696780</v>
      </c>
      <c r="J41" s="41">
        <f t="shared" ref="J41" si="4">J42+J43+J44+J45+J46+J47+J48+J49+J50</f>
        <v>0</v>
      </c>
    </row>
    <row r="42" spans="1:10" ht="65.400000000000006" customHeight="1" x14ac:dyDescent="0.25">
      <c r="A42" s="66" t="s">
        <v>47</v>
      </c>
      <c r="B42" s="537">
        <v>1010</v>
      </c>
      <c r="C42" s="537" t="s">
        <v>49</v>
      </c>
      <c r="D42" s="57" t="s">
        <v>50</v>
      </c>
      <c r="E42" s="32" t="s">
        <v>154</v>
      </c>
      <c r="F42" s="32" t="s">
        <v>621</v>
      </c>
      <c r="G42" s="8">
        <f t="shared" ref="G42:G51" si="5">H42+I42</f>
        <v>409755</v>
      </c>
      <c r="H42" s="33">
        <f>387671+22084</f>
        <v>409755</v>
      </c>
      <c r="I42" s="33">
        <v>0</v>
      </c>
      <c r="J42" s="34">
        <v>0</v>
      </c>
    </row>
    <row r="43" spans="1:10" ht="63.6" customHeight="1" x14ac:dyDescent="0.25">
      <c r="A43" s="66" t="s">
        <v>51</v>
      </c>
      <c r="B43" s="537" t="s">
        <v>52</v>
      </c>
      <c r="C43" s="537" t="s">
        <v>53</v>
      </c>
      <c r="D43" s="57" t="s">
        <v>54</v>
      </c>
      <c r="E43" s="32" t="s">
        <v>154</v>
      </c>
      <c r="F43" s="32" t="s">
        <v>621</v>
      </c>
      <c r="G43" s="8">
        <f t="shared" si="5"/>
        <v>8821709</v>
      </c>
      <c r="H43" s="33">
        <f>8402143+10757+499070-60261-30000</f>
        <v>8821709</v>
      </c>
      <c r="I43" s="33">
        <v>0</v>
      </c>
      <c r="J43" s="34">
        <v>0</v>
      </c>
    </row>
    <row r="44" spans="1:10" ht="69" customHeight="1" x14ac:dyDescent="0.25">
      <c r="A44" s="66" t="s">
        <v>55</v>
      </c>
      <c r="B44" s="537" t="s">
        <v>56</v>
      </c>
      <c r="C44" s="537" t="s">
        <v>57</v>
      </c>
      <c r="D44" s="57" t="s">
        <v>58</v>
      </c>
      <c r="E44" s="32" t="s">
        <v>154</v>
      </c>
      <c r="F44" s="32" t="s">
        <v>621</v>
      </c>
      <c r="G44" s="8">
        <f t="shared" si="5"/>
        <v>24260</v>
      </c>
      <c r="H44" s="33">
        <v>24260</v>
      </c>
      <c r="I44" s="33">
        <v>0</v>
      </c>
      <c r="J44" s="34">
        <v>0</v>
      </c>
    </row>
    <row r="45" spans="1:10" ht="67.2" customHeight="1" x14ac:dyDescent="0.25">
      <c r="A45" s="66" t="s">
        <v>60</v>
      </c>
      <c r="B45" s="537" t="s">
        <v>61</v>
      </c>
      <c r="C45" s="537" t="s">
        <v>59</v>
      </c>
      <c r="D45" s="57" t="s">
        <v>62</v>
      </c>
      <c r="E45" s="32" t="s">
        <v>154</v>
      </c>
      <c r="F45" s="32" t="s">
        <v>621</v>
      </c>
      <c r="G45" s="8">
        <f t="shared" si="5"/>
        <v>14480</v>
      </c>
      <c r="H45" s="33">
        <v>14480</v>
      </c>
      <c r="I45" s="33">
        <v>0</v>
      </c>
      <c r="J45" s="34">
        <v>0</v>
      </c>
    </row>
    <row r="46" spans="1:10" ht="66" customHeight="1" x14ac:dyDescent="0.25">
      <c r="A46" s="66" t="s">
        <v>63</v>
      </c>
      <c r="B46" s="537" t="s">
        <v>64</v>
      </c>
      <c r="C46" s="537" t="s">
        <v>59</v>
      </c>
      <c r="D46" s="57" t="s">
        <v>65</v>
      </c>
      <c r="E46" s="32" t="s">
        <v>154</v>
      </c>
      <c r="F46" s="32" t="s">
        <v>621</v>
      </c>
      <c r="G46" s="8">
        <f t="shared" si="5"/>
        <v>4722</v>
      </c>
      <c r="H46" s="33">
        <f>3619+1103</f>
        <v>4722</v>
      </c>
      <c r="I46" s="33">
        <v>0</v>
      </c>
      <c r="J46" s="34">
        <v>0</v>
      </c>
    </row>
    <row r="47" spans="1:10" ht="66" customHeight="1" x14ac:dyDescent="0.25">
      <c r="A47" s="66" t="s">
        <v>66</v>
      </c>
      <c r="B47" s="537" t="s">
        <v>67</v>
      </c>
      <c r="C47" s="537" t="s">
        <v>59</v>
      </c>
      <c r="D47" s="57" t="s">
        <v>68</v>
      </c>
      <c r="E47" s="32" t="s">
        <v>155</v>
      </c>
      <c r="F47" s="32" t="s">
        <v>621</v>
      </c>
      <c r="G47" s="8">
        <f t="shared" si="5"/>
        <v>4750</v>
      </c>
      <c r="H47" s="33">
        <v>4750</v>
      </c>
      <c r="I47" s="33">
        <v>0</v>
      </c>
      <c r="J47" s="34">
        <v>0</v>
      </c>
    </row>
    <row r="48" spans="1:10" ht="66" customHeight="1" x14ac:dyDescent="0.25">
      <c r="A48" s="66" t="s">
        <v>66</v>
      </c>
      <c r="B48" s="537" t="s">
        <v>67</v>
      </c>
      <c r="C48" s="537" t="s">
        <v>59</v>
      </c>
      <c r="D48" s="57" t="s">
        <v>68</v>
      </c>
      <c r="E48" s="32" t="s">
        <v>272</v>
      </c>
      <c r="F48" s="32" t="s">
        <v>290</v>
      </c>
      <c r="G48" s="36">
        <f t="shared" si="5"/>
        <v>4187</v>
      </c>
      <c r="H48" s="98">
        <v>4187</v>
      </c>
      <c r="I48" s="33">
        <v>0</v>
      </c>
      <c r="J48" s="34">
        <v>0</v>
      </c>
    </row>
    <row r="49" spans="1:10" ht="145.5" customHeight="1" x14ac:dyDescent="0.25">
      <c r="A49" s="96" t="s">
        <v>494</v>
      </c>
      <c r="B49" s="16">
        <v>1291</v>
      </c>
      <c r="C49" s="10" t="s">
        <v>59</v>
      </c>
      <c r="D49" s="75" t="s">
        <v>492</v>
      </c>
      <c r="E49" s="35" t="s">
        <v>155</v>
      </c>
      <c r="F49" s="32" t="s">
        <v>621</v>
      </c>
      <c r="G49" s="36">
        <f t="shared" si="5"/>
        <v>298620</v>
      </c>
      <c r="H49" s="37">
        <v>298620</v>
      </c>
      <c r="I49" s="33">
        <v>0</v>
      </c>
      <c r="J49" s="34">
        <v>0</v>
      </c>
    </row>
    <row r="50" spans="1:10" ht="135" customHeight="1" x14ac:dyDescent="0.25">
      <c r="A50" s="174" t="s">
        <v>495</v>
      </c>
      <c r="B50" s="605">
        <v>1292</v>
      </c>
      <c r="C50" s="605" t="s">
        <v>59</v>
      </c>
      <c r="D50" s="32" t="s">
        <v>493</v>
      </c>
      <c r="E50" s="32" t="s">
        <v>155</v>
      </c>
      <c r="F50" s="32" t="s">
        <v>621</v>
      </c>
      <c r="G50" s="8">
        <f t="shared" si="5"/>
        <v>696780</v>
      </c>
      <c r="H50" s="33">
        <v>0</v>
      </c>
      <c r="I50" s="33">
        <v>696780</v>
      </c>
      <c r="J50" s="686"/>
    </row>
    <row r="51" spans="1:10" ht="96" customHeight="1" thickBot="1" x14ac:dyDescent="0.3">
      <c r="A51" s="96" t="s">
        <v>612</v>
      </c>
      <c r="B51" s="16">
        <v>3140</v>
      </c>
      <c r="C51" s="16">
        <v>1040</v>
      </c>
      <c r="D51" s="685" t="s">
        <v>613</v>
      </c>
      <c r="E51" s="86" t="s">
        <v>622</v>
      </c>
      <c r="F51" s="86" t="s">
        <v>623</v>
      </c>
      <c r="G51" s="8">
        <f t="shared" si="5"/>
        <v>1300000</v>
      </c>
      <c r="H51" s="98">
        <v>1300000</v>
      </c>
      <c r="I51" s="98"/>
      <c r="J51" s="534"/>
    </row>
    <row r="52" spans="1:10" ht="66.599999999999994" customHeight="1" thickBot="1" x14ac:dyDescent="0.3">
      <c r="A52" s="114" t="s">
        <v>70</v>
      </c>
      <c r="B52" s="115" t="s">
        <v>16</v>
      </c>
      <c r="C52" s="115" t="s">
        <v>16</v>
      </c>
      <c r="D52" s="116" t="s">
        <v>71</v>
      </c>
      <c r="E52" s="117" t="s">
        <v>16</v>
      </c>
      <c r="F52" s="117" t="s">
        <v>16</v>
      </c>
      <c r="G52" s="23">
        <f t="shared" ref="G52:G87" si="6">H52+I52</f>
        <v>18512451</v>
      </c>
      <c r="H52" s="23">
        <f>H53</f>
        <v>18512451</v>
      </c>
      <c r="I52" s="23">
        <f>I53</f>
        <v>0</v>
      </c>
      <c r="J52" s="118">
        <f>J53</f>
        <v>0</v>
      </c>
    </row>
    <row r="53" spans="1:10" ht="46.8" x14ac:dyDescent="0.25">
      <c r="A53" s="26" t="s">
        <v>72</v>
      </c>
      <c r="B53" s="27" t="s">
        <v>16</v>
      </c>
      <c r="C53" s="27" t="s">
        <v>16</v>
      </c>
      <c r="D53" s="56" t="s">
        <v>71</v>
      </c>
      <c r="E53" s="28" t="s">
        <v>16</v>
      </c>
      <c r="F53" s="28" t="s">
        <v>16</v>
      </c>
      <c r="G53" s="39">
        <f>H53+I53</f>
        <v>18512451</v>
      </c>
      <c r="H53" s="40">
        <f>H54+H55+H56+H59+H57+H58</f>
        <v>18512451</v>
      </c>
      <c r="I53" s="40">
        <f>I54+I55+I59</f>
        <v>0</v>
      </c>
      <c r="J53" s="41">
        <f>J54+J55+J59</f>
        <v>0</v>
      </c>
    </row>
    <row r="54" spans="1:10" ht="93.6" x14ac:dyDescent="0.25">
      <c r="A54" s="66" t="s">
        <v>73</v>
      </c>
      <c r="B54" s="537" t="s">
        <v>74</v>
      </c>
      <c r="C54" s="537" t="s">
        <v>75</v>
      </c>
      <c r="D54" s="57" t="s">
        <v>76</v>
      </c>
      <c r="E54" s="32" t="s">
        <v>249</v>
      </c>
      <c r="F54" s="32" t="s">
        <v>250</v>
      </c>
      <c r="G54" s="8">
        <f t="shared" si="6"/>
        <v>12750</v>
      </c>
      <c r="H54" s="33">
        <v>12750</v>
      </c>
      <c r="I54" s="33">
        <v>0</v>
      </c>
      <c r="J54" s="34">
        <v>0</v>
      </c>
    </row>
    <row r="55" spans="1:10" ht="93.6" x14ac:dyDescent="0.25">
      <c r="A55" s="66" t="s">
        <v>77</v>
      </c>
      <c r="B55" s="537" t="s">
        <v>78</v>
      </c>
      <c r="C55" s="537" t="s">
        <v>56</v>
      </c>
      <c r="D55" s="57" t="s">
        <v>79</v>
      </c>
      <c r="E55" s="32" t="s">
        <v>249</v>
      </c>
      <c r="F55" s="32" t="s">
        <v>250</v>
      </c>
      <c r="G55" s="8">
        <f t="shared" si="6"/>
        <v>8400</v>
      </c>
      <c r="H55" s="33">
        <v>8400</v>
      </c>
      <c r="I55" s="33">
        <v>0</v>
      </c>
      <c r="J55" s="34">
        <v>0</v>
      </c>
    </row>
    <row r="56" spans="1:10" ht="93.6" x14ac:dyDescent="0.25">
      <c r="A56" s="174" t="s">
        <v>189</v>
      </c>
      <c r="B56" s="605">
        <v>3105</v>
      </c>
      <c r="C56" s="605">
        <v>1010</v>
      </c>
      <c r="D56" s="57" t="s">
        <v>191</v>
      </c>
      <c r="E56" s="79" t="s">
        <v>629</v>
      </c>
      <c r="F56" s="32" t="s">
        <v>630</v>
      </c>
      <c r="G56" s="8">
        <f t="shared" si="6"/>
        <v>12401</v>
      </c>
      <c r="H56" s="33">
        <v>12401</v>
      </c>
      <c r="I56" s="33"/>
      <c r="J56" s="34"/>
    </row>
    <row r="57" spans="1:10" ht="69" customHeight="1" x14ac:dyDescent="0.25">
      <c r="A57" s="66">
        <v>813241</v>
      </c>
      <c r="B57" s="537">
        <v>3241</v>
      </c>
      <c r="C57" s="537">
        <v>1090</v>
      </c>
      <c r="D57" s="57" t="s">
        <v>197</v>
      </c>
      <c r="E57" s="32" t="s">
        <v>156</v>
      </c>
      <c r="F57" s="32" t="s">
        <v>242</v>
      </c>
      <c r="G57" s="8">
        <f t="shared" si="6"/>
        <v>71000</v>
      </c>
      <c r="H57" s="33">
        <v>71000</v>
      </c>
      <c r="I57" s="33"/>
      <c r="J57" s="34"/>
    </row>
    <row r="58" spans="1:10" ht="67.95" customHeight="1" x14ac:dyDescent="0.25">
      <c r="A58" s="538" t="s">
        <v>81</v>
      </c>
      <c r="B58" s="537" t="s">
        <v>82</v>
      </c>
      <c r="C58" s="537" t="s">
        <v>80</v>
      </c>
      <c r="D58" s="57" t="s">
        <v>83</v>
      </c>
      <c r="E58" s="32" t="s">
        <v>257</v>
      </c>
      <c r="F58" s="32" t="s">
        <v>341</v>
      </c>
      <c r="G58" s="8">
        <f t="shared" si="6"/>
        <v>16607900</v>
      </c>
      <c r="H58" s="37">
        <v>16607900</v>
      </c>
      <c r="I58" s="37"/>
      <c r="J58" s="38"/>
    </row>
    <row r="59" spans="1:10" ht="132" customHeight="1" thickBot="1" x14ac:dyDescent="0.3">
      <c r="A59" s="119" t="s">
        <v>81</v>
      </c>
      <c r="B59" s="10" t="s">
        <v>82</v>
      </c>
      <c r="C59" s="10" t="s">
        <v>80</v>
      </c>
      <c r="D59" s="75" t="s">
        <v>83</v>
      </c>
      <c r="E59" s="113" t="s">
        <v>251</v>
      </c>
      <c r="F59" s="113" t="s">
        <v>252</v>
      </c>
      <c r="G59" s="36">
        <f t="shared" si="6"/>
        <v>1800000</v>
      </c>
      <c r="H59" s="37">
        <v>1800000</v>
      </c>
      <c r="I59" s="37">
        <v>0</v>
      </c>
      <c r="J59" s="38">
        <v>0</v>
      </c>
    </row>
    <row r="60" spans="1:10" ht="67.95" customHeight="1" thickBot="1" x14ac:dyDescent="0.3">
      <c r="A60" s="114" t="s">
        <v>84</v>
      </c>
      <c r="B60" s="115" t="s">
        <v>16</v>
      </c>
      <c r="C60" s="115" t="s">
        <v>16</v>
      </c>
      <c r="D60" s="116" t="s">
        <v>85</v>
      </c>
      <c r="E60" s="117" t="s">
        <v>16</v>
      </c>
      <c r="F60" s="117" t="s">
        <v>16</v>
      </c>
      <c r="G60" s="23">
        <f t="shared" si="6"/>
        <v>32000</v>
      </c>
      <c r="H60" s="23">
        <f t="shared" ref="H60:J61" si="7">H61</f>
        <v>32000</v>
      </c>
      <c r="I60" s="23">
        <f t="shared" si="7"/>
        <v>0</v>
      </c>
      <c r="J60" s="118">
        <f t="shared" si="7"/>
        <v>0</v>
      </c>
    </row>
    <row r="61" spans="1:10" ht="46.8" x14ac:dyDescent="0.25">
      <c r="A61" s="42" t="s">
        <v>86</v>
      </c>
      <c r="B61" s="43" t="s">
        <v>16</v>
      </c>
      <c r="C61" s="43" t="s">
        <v>16</v>
      </c>
      <c r="D61" s="76" t="s">
        <v>85</v>
      </c>
      <c r="E61" s="44" t="s">
        <v>16</v>
      </c>
      <c r="F61" s="44" t="s">
        <v>16</v>
      </c>
      <c r="G61" s="45">
        <f>H61+I61</f>
        <v>32000</v>
      </c>
      <c r="H61" s="46">
        <f t="shared" si="7"/>
        <v>32000</v>
      </c>
      <c r="I61" s="46">
        <f t="shared" si="7"/>
        <v>0</v>
      </c>
      <c r="J61" s="47">
        <f t="shared" si="7"/>
        <v>0</v>
      </c>
    </row>
    <row r="62" spans="1:10" ht="63" customHeight="1" thickBot="1" x14ac:dyDescent="0.3">
      <c r="A62" s="87" t="s">
        <v>87</v>
      </c>
      <c r="B62" s="540" t="s">
        <v>88</v>
      </c>
      <c r="C62" s="540" t="s">
        <v>69</v>
      </c>
      <c r="D62" s="90" t="s">
        <v>89</v>
      </c>
      <c r="E62" s="88" t="s">
        <v>237</v>
      </c>
      <c r="F62" s="88" t="s">
        <v>238</v>
      </c>
      <c r="G62" s="91">
        <f>H62</f>
        <v>32000</v>
      </c>
      <c r="H62" s="89">
        <v>32000</v>
      </c>
      <c r="I62" s="89">
        <v>0</v>
      </c>
      <c r="J62" s="92">
        <v>0</v>
      </c>
    </row>
    <row r="63" spans="1:10" ht="60.75" customHeight="1" thickBot="1" x14ac:dyDescent="0.3">
      <c r="A63" s="114" t="s">
        <v>90</v>
      </c>
      <c r="B63" s="115" t="s">
        <v>16</v>
      </c>
      <c r="C63" s="115" t="s">
        <v>16</v>
      </c>
      <c r="D63" s="116" t="s">
        <v>91</v>
      </c>
      <c r="E63" s="117" t="s">
        <v>16</v>
      </c>
      <c r="F63" s="117" t="s">
        <v>16</v>
      </c>
      <c r="G63" s="23">
        <f t="shared" si="6"/>
        <v>29193472</v>
      </c>
      <c r="H63" s="23">
        <f>H64</f>
        <v>29193472</v>
      </c>
      <c r="I63" s="23">
        <f>I64</f>
        <v>0</v>
      </c>
      <c r="J63" s="118">
        <f>J64</f>
        <v>0</v>
      </c>
    </row>
    <row r="64" spans="1:10" ht="60.75" customHeight="1" x14ac:dyDescent="0.25">
      <c r="A64" s="26" t="s">
        <v>92</v>
      </c>
      <c r="B64" s="27" t="s">
        <v>16</v>
      </c>
      <c r="C64" s="27" t="s">
        <v>16</v>
      </c>
      <c r="D64" s="56" t="s">
        <v>91</v>
      </c>
      <c r="E64" s="28" t="s">
        <v>16</v>
      </c>
      <c r="F64" s="28" t="s">
        <v>16</v>
      </c>
      <c r="G64" s="39">
        <f>H64+I64</f>
        <v>29193472</v>
      </c>
      <c r="H64" s="40">
        <f>H65+H67+H68+H69+H70+H71+H72+H73+H75+H76+H74+H77+H66</f>
        <v>29193472</v>
      </c>
      <c r="I64" s="40">
        <f>I65+I67+I68+I69+I70+I71+I72+I73+I75+I76+I74</f>
        <v>0</v>
      </c>
      <c r="J64" s="41">
        <f>J65+J67+J68+J69+J70+J71+J72+J73+J75+J76+J74</f>
        <v>0</v>
      </c>
    </row>
    <row r="65" spans="1:10" ht="65.400000000000006" customHeight="1" x14ac:dyDescent="0.25">
      <c r="A65" s="66" t="s">
        <v>93</v>
      </c>
      <c r="B65" s="537" t="s">
        <v>94</v>
      </c>
      <c r="C65" s="537" t="s">
        <v>57</v>
      </c>
      <c r="D65" s="57" t="s">
        <v>95</v>
      </c>
      <c r="E65" s="32" t="s">
        <v>157</v>
      </c>
      <c r="F65" s="32" t="s">
        <v>239</v>
      </c>
      <c r="G65" s="8">
        <f t="shared" si="6"/>
        <v>22500</v>
      </c>
      <c r="H65" s="33">
        <v>22500</v>
      </c>
      <c r="I65" s="33">
        <v>0</v>
      </c>
      <c r="J65" s="34">
        <v>0</v>
      </c>
    </row>
    <row r="66" spans="1:10" ht="57.75" customHeight="1" x14ac:dyDescent="0.25">
      <c r="A66" s="66" t="s">
        <v>96</v>
      </c>
      <c r="B66" s="537" t="s">
        <v>97</v>
      </c>
      <c r="C66" s="537" t="s">
        <v>69</v>
      </c>
      <c r="D66" s="57" t="s">
        <v>98</v>
      </c>
      <c r="E66" s="32" t="s">
        <v>272</v>
      </c>
      <c r="F66" s="32" t="s">
        <v>290</v>
      </c>
      <c r="G66" s="109">
        <f t="shared" si="6"/>
        <v>29026</v>
      </c>
      <c r="H66" s="108">
        <v>29026</v>
      </c>
      <c r="I66" s="33"/>
      <c r="J66" s="34"/>
    </row>
    <row r="67" spans="1:10" ht="62.4" x14ac:dyDescent="0.25">
      <c r="A67" s="66" t="s">
        <v>96</v>
      </c>
      <c r="B67" s="537" t="s">
        <v>97</v>
      </c>
      <c r="C67" s="537" t="s">
        <v>69</v>
      </c>
      <c r="D67" s="57" t="s">
        <v>98</v>
      </c>
      <c r="E67" s="32" t="s">
        <v>156</v>
      </c>
      <c r="F67" s="32" t="s">
        <v>242</v>
      </c>
      <c r="G67" s="109">
        <f t="shared" si="6"/>
        <v>211500</v>
      </c>
      <c r="H67" s="108">
        <v>211500</v>
      </c>
      <c r="I67" s="33">
        <v>0</v>
      </c>
      <c r="J67" s="34">
        <v>0</v>
      </c>
    </row>
    <row r="68" spans="1:10" ht="63.6" customHeight="1" x14ac:dyDescent="0.25">
      <c r="A68" s="66" t="s">
        <v>99</v>
      </c>
      <c r="B68" s="537" t="s">
        <v>100</v>
      </c>
      <c r="C68" s="537" t="s">
        <v>101</v>
      </c>
      <c r="D68" s="57" t="s">
        <v>102</v>
      </c>
      <c r="E68" s="32" t="s">
        <v>157</v>
      </c>
      <c r="F68" s="32" t="s">
        <v>239</v>
      </c>
      <c r="G68" s="8">
        <f t="shared" si="6"/>
        <v>8000</v>
      </c>
      <c r="H68" s="33">
        <v>8000</v>
      </c>
      <c r="I68" s="33">
        <v>0</v>
      </c>
      <c r="J68" s="34">
        <v>0</v>
      </c>
    </row>
    <row r="69" spans="1:10" ht="67.2" customHeight="1" x14ac:dyDescent="0.25">
      <c r="A69" s="66" t="s">
        <v>103</v>
      </c>
      <c r="B69" s="537" t="s">
        <v>104</v>
      </c>
      <c r="C69" s="537" t="s">
        <v>101</v>
      </c>
      <c r="D69" s="57" t="s">
        <v>105</v>
      </c>
      <c r="E69" s="32" t="s">
        <v>157</v>
      </c>
      <c r="F69" s="32" t="s">
        <v>239</v>
      </c>
      <c r="G69" s="8">
        <f t="shared" si="6"/>
        <v>3000</v>
      </c>
      <c r="H69" s="33">
        <v>3000</v>
      </c>
      <c r="I69" s="33">
        <v>0</v>
      </c>
      <c r="J69" s="34">
        <v>0</v>
      </c>
    </row>
    <row r="70" spans="1:10" ht="63" customHeight="1" x14ac:dyDescent="0.25">
      <c r="A70" s="66" t="s">
        <v>106</v>
      </c>
      <c r="B70" s="537" t="s">
        <v>107</v>
      </c>
      <c r="C70" s="537" t="s">
        <v>108</v>
      </c>
      <c r="D70" s="57" t="s">
        <v>109</v>
      </c>
      <c r="E70" s="32" t="s">
        <v>157</v>
      </c>
      <c r="F70" s="32" t="s">
        <v>239</v>
      </c>
      <c r="G70" s="8">
        <f t="shared" si="6"/>
        <v>25700</v>
      </c>
      <c r="H70" s="33">
        <v>25700</v>
      </c>
      <c r="I70" s="33">
        <v>0</v>
      </c>
      <c r="J70" s="34">
        <v>0</v>
      </c>
    </row>
    <row r="71" spans="1:10" ht="64.95" customHeight="1" x14ac:dyDescent="0.25">
      <c r="A71" s="66" t="s">
        <v>111</v>
      </c>
      <c r="B71" s="537" t="s">
        <v>112</v>
      </c>
      <c r="C71" s="537" t="s">
        <v>110</v>
      </c>
      <c r="D71" s="57" t="s">
        <v>113</v>
      </c>
      <c r="E71" s="32" t="s">
        <v>157</v>
      </c>
      <c r="F71" s="32" t="s">
        <v>239</v>
      </c>
      <c r="G71" s="8">
        <f t="shared" si="6"/>
        <v>194000</v>
      </c>
      <c r="H71" s="33">
        <v>194000</v>
      </c>
      <c r="I71" s="33">
        <v>0</v>
      </c>
      <c r="J71" s="34">
        <v>0</v>
      </c>
    </row>
    <row r="72" spans="1:10" ht="51" customHeight="1" x14ac:dyDescent="0.25">
      <c r="A72" s="66" t="s">
        <v>114</v>
      </c>
      <c r="B72" s="537" t="s">
        <v>115</v>
      </c>
      <c r="C72" s="537" t="s">
        <v>116</v>
      </c>
      <c r="D72" s="57" t="s">
        <v>117</v>
      </c>
      <c r="E72" s="32" t="s">
        <v>243</v>
      </c>
      <c r="F72" s="32" t="s">
        <v>244</v>
      </c>
      <c r="G72" s="8">
        <f t="shared" si="6"/>
        <v>32750</v>
      </c>
      <c r="H72" s="33">
        <v>32750</v>
      </c>
      <c r="I72" s="33">
        <v>0</v>
      </c>
      <c r="J72" s="34">
        <v>0</v>
      </c>
    </row>
    <row r="73" spans="1:10" ht="51" customHeight="1" x14ac:dyDescent="0.25">
      <c r="A73" s="66" t="s">
        <v>118</v>
      </c>
      <c r="B73" s="537" t="s">
        <v>119</v>
      </c>
      <c r="C73" s="537" t="s">
        <v>116</v>
      </c>
      <c r="D73" s="57" t="s">
        <v>120</v>
      </c>
      <c r="E73" s="32" t="s">
        <v>243</v>
      </c>
      <c r="F73" s="32" t="s">
        <v>244</v>
      </c>
      <c r="G73" s="8">
        <f t="shared" si="6"/>
        <v>1667729</v>
      </c>
      <c r="H73" s="33">
        <f>1010000+495330+162399</f>
        <v>1667729</v>
      </c>
      <c r="I73" s="33">
        <v>0</v>
      </c>
      <c r="J73" s="34">
        <v>0</v>
      </c>
    </row>
    <row r="74" spans="1:10" s="1" customFormat="1" ht="50.25" customHeight="1" x14ac:dyDescent="0.3">
      <c r="A74" s="64">
        <v>1015041</v>
      </c>
      <c r="B74" s="65">
        <v>5041</v>
      </c>
      <c r="C74" s="65" t="s">
        <v>116</v>
      </c>
      <c r="D74" s="77" t="s">
        <v>161</v>
      </c>
      <c r="E74" s="32" t="s">
        <v>243</v>
      </c>
      <c r="F74" s="32" t="s">
        <v>244</v>
      </c>
      <c r="G74" s="8">
        <f t="shared" si="6"/>
        <v>25268036</v>
      </c>
      <c r="H74" s="33">
        <v>25268036</v>
      </c>
      <c r="I74" s="33">
        <v>0</v>
      </c>
      <c r="J74" s="34">
        <v>0</v>
      </c>
    </row>
    <row r="75" spans="1:10" ht="72.75" customHeight="1" x14ac:dyDescent="0.25">
      <c r="A75" s="66" t="s">
        <v>121</v>
      </c>
      <c r="B75" s="537" t="s">
        <v>122</v>
      </c>
      <c r="C75" s="537" t="s">
        <v>116</v>
      </c>
      <c r="D75" s="57" t="s">
        <v>123</v>
      </c>
      <c r="E75" s="32" t="s">
        <v>243</v>
      </c>
      <c r="F75" s="32" t="s">
        <v>244</v>
      </c>
      <c r="G75" s="8">
        <f t="shared" si="6"/>
        <v>1190931</v>
      </c>
      <c r="H75" s="33">
        <v>1190931</v>
      </c>
      <c r="I75" s="33">
        <v>0</v>
      </c>
      <c r="J75" s="34">
        <v>0</v>
      </c>
    </row>
    <row r="76" spans="1:10" ht="60" customHeight="1" x14ac:dyDescent="0.25">
      <c r="A76" s="66" t="s">
        <v>124</v>
      </c>
      <c r="B76" s="537" t="s">
        <v>125</v>
      </c>
      <c r="C76" s="537" t="s">
        <v>116</v>
      </c>
      <c r="D76" s="57" t="s">
        <v>126</v>
      </c>
      <c r="E76" s="32" t="s">
        <v>243</v>
      </c>
      <c r="F76" s="32" t="s">
        <v>244</v>
      </c>
      <c r="G76" s="8">
        <f>H76+I76</f>
        <v>438000</v>
      </c>
      <c r="H76" s="33">
        <f>558000-120000</f>
        <v>438000</v>
      </c>
      <c r="I76" s="33">
        <v>0</v>
      </c>
      <c r="J76" s="34">
        <v>0</v>
      </c>
    </row>
    <row r="77" spans="1:10" ht="69" customHeight="1" thickBot="1" x14ac:dyDescent="0.3">
      <c r="A77" s="100">
        <v>1018110</v>
      </c>
      <c r="B77" s="101">
        <v>8110</v>
      </c>
      <c r="C77" s="101" t="s">
        <v>245</v>
      </c>
      <c r="D77" s="102" t="s">
        <v>246</v>
      </c>
      <c r="E77" s="86" t="s">
        <v>247</v>
      </c>
      <c r="F77" s="113" t="s">
        <v>248</v>
      </c>
      <c r="G77" s="8">
        <f t="shared" si="6"/>
        <v>102300</v>
      </c>
      <c r="H77" s="98">
        <f>102300-100800+100800</f>
        <v>102300</v>
      </c>
      <c r="I77" s="98"/>
      <c r="J77" s="99"/>
    </row>
    <row r="78" spans="1:10" ht="46.95" customHeight="1" thickBot="1" x14ac:dyDescent="0.3">
      <c r="A78" s="20" t="s">
        <v>127</v>
      </c>
      <c r="B78" s="21" t="s">
        <v>16</v>
      </c>
      <c r="C78" s="21" t="s">
        <v>16</v>
      </c>
      <c r="D78" s="74" t="s">
        <v>128</v>
      </c>
      <c r="E78" s="22" t="s">
        <v>16</v>
      </c>
      <c r="F78" s="22" t="s">
        <v>16</v>
      </c>
      <c r="G78" s="23">
        <f>H78+I78</f>
        <v>60309374</v>
      </c>
      <c r="H78" s="24">
        <f>H79</f>
        <v>59949774</v>
      </c>
      <c r="I78" s="24">
        <f>I79</f>
        <v>359600</v>
      </c>
      <c r="J78" s="25">
        <f>J79</f>
        <v>0</v>
      </c>
    </row>
    <row r="79" spans="1:10" ht="61.5" customHeight="1" x14ac:dyDescent="0.25">
      <c r="A79" s="568">
        <v>1210000</v>
      </c>
      <c r="B79" s="43" t="s">
        <v>16</v>
      </c>
      <c r="C79" s="43" t="s">
        <v>16</v>
      </c>
      <c r="D79" s="76" t="s">
        <v>128</v>
      </c>
      <c r="E79" s="44" t="s">
        <v>16</v>
      </c>
      <c r="F79" s="44" t="s">
        <v>16</v>
      </c>
      <c r="G79" s="45">
        <f>H79+I79</f>
        <v>60309374</v>
      </c>
      <c r="H79" s="46">
        <f>H80+H81+H82+H83+H84+H85+H87+H86</f>
        <v>59949774</v>
      </c>
      <c r="I79" s="46">
        <f>I80+I81+I82+I83+I84+I85+I87</f>
        <v>359600</v>
      </c>
      <c r="J79" s="47">
        <f t="shared" ref="J79" si="8">J80+J81+J82+J83+J85+J87</f>
        <v>0</v>
      </c>
    </row>
    <row r="80" spans="1:10" ht="63.6" customHeight="1" x14ac:dyDescent="0.25">
      <c r="A80" s="66" t="s">
        <v>131</v>
      </c>
      <c r="B80" s="537" t="s">
        <v>132</v>
      </c>
      <c r="C80" s="537" t="s">
        <v>133</v>
      </c>
      <c r="D80" s="57" t="s">
        <v>134</v>
      </c>
      <c r="E80" s="32" t="s">
        <v>158</v>
      </c>
      <c r="F80" s="32" t="s">
        <v>624</v>
      </c>
      <c r="G80" s="8">
        <f t="shared" si="6"/>
        <v>8474</v>
      </c>
      <c r="H80" s="33">
        <v>8474</v>
      </c>
      <c r="I80" s="33">
        <v>0</v>
      </c>
      <c r="J80" s="34">
        <v>0</v>
      </c>
    </row>
    <row r="81" spans="1:10" ht="67.95" customHeight="1" x14ac:dyDescent="0.25">
      <c r="A81" s="538">
        <v>1216012</v>
      </c>
      <c r="B81" s="537">
        <v>6012</v>
      </c>
      <c r="C81" s="97" t="s">
        <v>29</v>
      </c>
      <c r="D81" s="104" t="s">
        <v>253</v>
      </c>
      <c r="E81" s="32" t="s">
        <v>158</v>
      </c>
      <c r="F81" s="32" t="s">
        <v>624</v>
      </c>
      <c r="G81" s="8">
        <f t="shared" si="6"/>
        <v>5671150</v>
      </c>
      <c r="H81" s="33">
        <f>13000000-7328850</f>
        <v>5671150</v>
      </c>
      <c r="I81" s="33">
        <v>0</v>
      </c>
      <c r="J81" s="34">
        <v>0</v>
      </c>
    </row>
    <row r="82" spans="1:10" ht="63" customHeight="1" x14ac:dyDescent="0.25">
      <c r="A82" s="66" t="s">
        <v>135</v>
      </c>
      <c r="B82" s="537" t="s">
        <v>136</v>
      </c>
      <c r="C82" s="537" t="s">
        <v>29</v>
      </c>
      <c r="D82" s="57" t="s">
        <v>137</v>
      </c>
      <c r="E82" s="32" t="s">
        <v>158</v>
      </c>
      <c r="F82" s="32" t="s">
        <v>624</v>
      </c>
      <c r="G82" s="8">
        <f t="shared" si="6"/>
        <v>1231641</v>
      </c>
      <c r="H82" s="33">
        <v>1231641</v>
      </c>
      <c r="I82" s="33">
        <v>0</v>
      </c>
      <c r="J82" s="34">
        <v>0</v>
      </c>
    </row>
    <row r="83" spans="1:10" ht="63.6" customHeight="1" x14ac:dyDescent="0.25">
      <c r="A83" s="66" t="s">
        <v>138</v>
      </c>
      <c r="B83" s="537" t="s">
        <v>28</v>
      </c>
      <c r="C83" s="537" t="s">
        <v>29</v>
      </c>
      <c r="D83" s="57" t="s">
        <v>30</v>
      </c>
      <c r="E83" s="32" t="s">
        <v>158</v>
      </c>
      <c r="F83" s="32" t="s">
        <v>624</v>
      </c>
      <c r="G83" s="8">
        <f t="shared" si="6"/>
        <v>41839117</v>
      </c>
      <c r="H83" s="33">
        <f>35374609+45564+6418944</f>
        <v>41839117</v>
      </c>
      <c r="I83" s="33">
        <v>0</v>
      </c>
      <c r="J83" s="34">
        <v>0</v>
      </c>
    </row>
    <row r="84" spans="1:10" ht="159.6" customHeight="1" x14ac:dyDescent="0.25">
      <c r="A84" s="48">
        <v>1216071</v>
      </c>
      <c r="B84" s="49">
        <v>6071</v>
      </c>
      <c r="C84" s="176" t="s">
        <v>291</v>
      </c>
      <c r="D84" s="59" t="s">
        <v>289</v>
      </c>
      <c r="E84" s="32" t="s">
        <v>158</v>
      </c>
      <c r="F84" s="32" t="s">
        <v>624</v>
      </c>
      <c r="G84" s="8">
        <f t="shared" si="6"/>
        <v>7328850</v>
      </c>
      <c r="H84" s="30">
        <f>0+7328850</f>
        <v>7328850</v>
      </c>
      <c r="I84" s="33">
        <v>0</v>
      </c>
      <c r="J84" s="34">
        <v>0</v>
      </c>
    </row>
    <row r="85" spans="1:10" ht="63.6" customHeight="1" x14ac:dyDescent="0.25">
      <c r="A85" s="64" t="s">
        <v>139</v>
      </c>
      <c r="B85" s="49" t="s">
        <v>140</v>
      </c>
      <c r="C85" s="49" t="s">
        <v>141</v>
      </c>
      <c r="D85" s="59" t="s">
        <v>142</v>
      </c>
      <c r="E85" s="50" t="s">
        <v>158</v>
      </c>
      <c r="F85" s="32" t="s">
        <v>624</v>
      </c>
      <c r="G85" s="29">
        <f t="shared" si="6"/>
        <v>2633948</v>
      </c>
      <c r="H85" s="30">
        <f>2286103+347845</f>
        <v>2633948</v>
      </c>
      <c r="I85" s="33">
        <v>0</v>
      </c>
      <c r="J85" s="34">
        <v>0</v>
      </c>
    </row>
    <row r="86" spans="1:10" ht="63.6" customHeight="1" x14ac:dyDescent="0.25">
      <c r="A86" s="100">
        <v>1217693</v>
      </c>
      <c r="B86" s="16">
        <v>7693</v>
      </c>
      <c r="C86" s="338" t="s">
        <v>178</v>
      </c>
      <c r="D86" s="103" t="s">
        <v>500</v>
      </c>
      <c r="E86" s="32" t="s">
        <v>158</v>
      </c>
      <c r="F86" s="32" t="s">
        <v>624</v>
      </c>
      <c r="G86" s="29">
        <f t="shared" si="6"/>
        <v>1236594</v>
      </c>
      <c r="H86" s="98">
        <f>0+1236594</f>
        <v>1236594</v>
      </c>
      <c r="I86" s="37">
        <v>0</v>
      </c>
      <c r="J86" s="38">
        <v>0</v>
      </c>
    </row>
    <row r="87" spans="1:10" ht="66.599999999999994" customHeight="1" thickBot="1" x14ac:dyDescent="0.3">
      <c r="A87" s="119" t="s">
        <v>143</v>
      </c>
      <c r="B87" s="10" t="s">
        <v>144</v>
      </c>
      <c r="C87" s="10" t="s">
        <v>145</v>
      </c>
      <c r="D87" s="75" t="s">
        <v>146</v>
      </c>
      <c r="E87" s="35" t="s">
        <v>258</v>
      </c>
      <c r="F87" s="599" t="s">
        <v>259</v>
      </c>
      <c r="G87" s="36">
        <f t="shared" si="6"/>
        <v>359600</v>
      </c>
      <c r="H87" s="37">
        <v>0</v>
      </c>
      <c r="I87" s="37">
        <v>359600</v>
      </c>
      <c r="J87" s="38">
        <v>0</v>
      </c>
    </row>
    <row r="88" spans="1:10" ht="79.95" customHeight="1" thickBot="1" x14ac:dyDescent="0.3">
      <c r="A88" s="20" t="s">
        <v>147</v>
      </c>
      <c r="B88" s="21" t="s">
        <v>16</v>
      </c>
      <c r="C88" s="21" t="s">
        <v>16</v>
      </c>
      <c r="D88" s="74" t="s">
        <v>148</v>
      </c>
      <c r="E88" s="22" t="s">
        <v>16</v>
      </c>
      <c r="F88" s="22" t="s">
        <v>16</v>
      </c>
      <c r="G88" s="23">
        <f>H88+I88</f>
        <v>64473419</v>
      </c>
      <c r="H88" s="24">
        <f>H89</f>
        <v>0</v>
      </c>
      <c r="I88" s="24">
        <f>I89</f>
        <v>64473419</v>
      </c>
      <c r="J88" s="25">
        <f>J89</f>
        <v>64473419</v>
      </c>
    </row>
    <row r="89" spans="1:10" ht="58.2" customHeight="1" x14ac:dyDescent="0.25">
      <c r="A89" s="51">
        <v>1510000</v>
      </c>
      <c r="B89" s="27" t="s">
        <v>16</v>
      </c>
      <c r="C89" s="27" t="s">
        <v>16</v>
      </c>
      <c r="D89" s="56" t="s">
        <v>148</v>
      </c>
      <c r="E89" s="28" t="s">
        <v>16</v>
      </c>
      <c r="F89" s="28" t="s">
        <v>16</v>
      </c>
      <c r="G89" s="29">
        <f>H89+I89</f>
        <v>64473419</v>
      </c>
      <c r="H89" s="30">
        <f>H92+H94</f>
        <v>0</v>
      </c>
      <c r="I89" s="30">
        <f>I90+I91+I94+I92+I93+I95+I96+I98+I97+I99</f>
        <v>64473419</v>
      </c>
      <c r="J89" s="30">
        <f>J90+J91+J94+J92+J93+J95+J96+J98+J97+J99</f>
        <v>64473419</v>
      </c>
    </row>
    <row r="90" spans="1:10" ht="78" customHeight="1" x14ac:dyDescent="0.25">
      <c r="A90" s="48">
        <v>1511021</v>
      </c>
      <c r="B90" s="500">
        <v>1021</v>
      </c>
      <c r="C90" s="67" t="s">
        <v>53</v>
      </c>
      <c r="D90" s="78" t="s">
        <v>498</v>
      </c>
      <c r="E90" s="35" t="s">
        <v>337</v>
      </c>
      <c r="F90" s="35" t="s">
        <v>625</v>
      </c>
      <c r="G90" s="29">
        <f>H90+J90</f>
        <v>29279494</v>
      </c>
      <c r="H90" s="30"/>
      <c r="I90" s="30">
        <f>J90</f>
        <v>29279494</v>
      </c>
      <c r="J90" s="31">
        <f>0+200000+11205842+268825+4384884+874564+12345379</f>
        <v>29279494</v>
      </c>
    </row>
    <row r="91" spans="1:10" ht="82.5" customHeight="1" x14ac:dyDescent="0.25">
      <c r="A91" s="48">
        <v>1512010</v>
      </c>
      <c r="B91" s="500">
        <v>2010</v>
      </c>
      <c r="C91" s="67" t="s">
        <v>22</v>
      </c>
      <c r="D91" s="687" t="s">
        <v>23</v>
      </c>
      <c r="E91" s="35" t="s">
        <v>337</v>
      </c>
      <c r="F91" s="35" t="s">
        <v>625</v>
      </c>
      <c r="G91" s="29">
        <f>H91+J91</f>
        <v>103135</v>
      </c>
      <c r="H91" s="30"/>
      <c r="I91" s="30">
        <f>J91</f>
        <v>103135</v>
      </c>
      <c r="J91" s="31">
        <v>103135</v>
      </c>
    </row>
    <row r="92" spans="1:10" s="1" customFormat="1" ht="75.599999999999994" customHeight="1" x14ac:dyDescent="0.3">
      <c r="A92" s="54" t="s">
        <v>260</v>
      </c>
      <c r="B92" s="55" t="s">
        <v>107</v>
      </c>
      <c r="C92" s="67" t="s">
        <v>108</v>
      </c>
      <c r="D92" s="78" t="s">
        <v>261</v>
      </c>
      <c r="E92" s="32" t="s">
        <v>262</v>
      </c>
      <c r="F92" s="79" t="s">
        <v>572</v>
      </c>
      <c r="G92" s="109">
        <f>H92+I92</f>
        <v>2478809</v>
      </c>
      <c r="H92" s="108">
        <v>0</v>
      </c>
      <c r="I92" s="108">
        <f>2295144-694188+1568308-690455</f>
        <v>2478809</v>
      </c>
      <c r="J92" s="111">
        <f t="shared" ref="J92:J97" si="9">I92</f>
        <v>2478809</v>
      </c>
    </row>
    <row r="93" spans="1:10" s="1" customFormat="1" ht="65.25" customHeight="1" x14ac:dyDescent="0.3">
      <c r="A93" s="501" t="s">
        <v>270</v>
      </c>
      <c r="B93" s="163" t="s">
        <v>271</v>
      </c>
      <c r="C93" s="164" t="s">
        <v>29</v>
      </c>
      <c r="D93" s="165" t="s">
        <v>253</v>
      </c>
      <c r="E93" s="32" t="s">
        <v>158</v>
      </c>
      <c r="F93" s="32" t="s">
        <v>626</v>
      </c>
      <c r="G93" s="109">
        <f t="shared" ref="G93" si="10">H93+I93</f>
        <v>8075673</v>
      </c>
      <c r="H93" s="112">
        <v>0</v>
      </c>
      <c r="I93" s="112">
        <f>1444539-1444539+1497526+752140+1748351+2894056+1183600</f>
        <v>8075673</v>
      </c>
      <c r="J93" s="111">
        <f t="shared" si="9"/>
        <v>8075673</v>
      </c>
    </row>
    <row r="94" spans="1:10" ht="67.2" customHeight="1" x14ac:dyDescent="0.25">
      <c r="A94" s="538">
        <v>1516030</v>
      </c>
      <c r="B94" s="539">
        <v>6030</v>
      </c>
      <c r="C94" s="539">
        <v>620</v>
      </c>
      <c r="D94" s="58" t="s">
        <v>137</v>
      </c>
      <c r="E94" s="32" t="s">
        <v>158</v>
      </c>
      <c r="F94" s="32" t="s">
        <v>626</v>
      </c>
      <c r="G94" s="109">
        <f>I94</f>
        <v>6025479</v>
      </c>
      <c r="H94" s="108">
        <v>0</v>
      </c>
      <c r="I94" s="108">
        <f>497622+259844+253652+1104357+4003149-93145</f>
        <v>6025479</v>
      </c>
      <c r="J94" s="111">
        <f t="shared" si="9"/>
        <v>6025479</v>
      </c>
    </row>
    <row r="95" spans="1:10" ht="89.25" customHeight="1" x14ac:dyDescent="0.25">
      <c r="A95" s="606">
        <v>1516030</v>
      </c>
      <c r="B95" s="607">
        <v>6030</v>
      </c>
      <c r="C95" s="607">
        <v>620</v>
      </c>
      <c r="D95" s="58" t="s">
        <v>137</v>
      </c>
      <c r="E95" s="35" t="s">
        <v>337</v>
      </c>
      <c r="F95" s="35" t="s">
        <v>625</v>
      </c>
      <c r="G95" s="109">
        <f>I95</f>
        <v>406558</v>
      </c>
      <c r="H95" s="112"/>
      <c r="I95" s="112">
        <v>406558</v>
      </c>
      <c r="J95" s="111">
        <f t="shared" si="9"/>
        <v>406558</v>
      </c>
    </row>
    <row r="96" spans="1:10" ht="82.5" customHeight="1" x14ac:dyDescent="0.25">
      <c r="A96" s="538" t="s">
        <v>332</v>
      </c>
      <c r="B96" s="539" t="s">
        <v>333</v>
      </c>
      <c r="C96" s="539" t="s">
        <v>334</v>
      </c>
      <c r="D96" s="79" t="s">
        <v>336</v>
      </c>
      <c r="E96" s="32" t="s">
        <v>337</v>
      </c>
      <c r="F96" s="35" t="s">
        <v>625</v>
      </c>
      <c r="G96" s="109">
        <f>I96</f>
        <v>3338727</v>
      </c>
      <c r="H96" s="108" t="s">
        <v>338</v>
      </c>
      <c r="I96" s="108">
        <f>2138727+49800+1550200-400000</f>
        <v>3338727</v>
      </c>
      <c r="J96" s="111">
        <f t="shared" si="9"/>
        <v>3338727</v>
      </c>
    </row>
    <row r="97" spans="1:10" ht="81" customHeight="1" x14ac:dyDescent="0.25">
      <c r="A97" s="498">
        <v>1517324</v>
      </c>
      <c r="B97" s="10">
        <v>7324</v>
      </c>
      <c r="C97" s="97" t="s">
        <v>334</v>
      </c>
      <c r="D97" s="35" t="s">
        <v>627</v>
      </c>
      <c r="E97" s="32" t="s">
        <v>337</v>
      </c>
      <c r="F97" s="35" t="s">
        <v>625</v>
      </c>
      <c r="G97" s="109">
        <f>I97</f>
        <v>1501526</v>
      </c>
      <c r="H97" s="489"/>
      <c r="I97" s="489">
        <v>1501526</v>
      </c>
      <c r="J97" s="111">
        <f t="shared" si="9"/>
        <v>1501526</v>
      </c>
    </row>
    <row r="98" spans="1:10" ht="81" customHeight="1" x14ac:dyDescent="0.25">
      <c r="A98" s="688">
        <v>1517330</v>
      </c>
      <c r="B98" s="607">
        <v>7330</v>
      </c>
      <c r="C98" s="689" t="s">
        <v>334</v>
      </c>
      <c r="D98" s="78" t="s">
        <v>502</v>
      </c>
      <c r="E98" s="32" t="s">
        <v>337</v>
      </c>
      <c r="F98" s="32" t="s">
        <v>625</v>
      </c>
      <c r="G98" s="109">
        <f t="shared" ref="G98:G99" si="11">I98</f>
        <v>1264018</v>
      </c>
      <c r="H98" s="108"/>
      <c r="I98" s="108">
        <f>1477980-213962</f>
        <v>1264018</v>
      </c>
      <c r="J98" s="111">
        <f t="shared" ref="J98:J99" si="12">I98</f>
        <v>1264018</v>
      </c>
    </row>
    <row r="99" spans="1:10" ht="81" customHeight="1" thickBot="1" x14ac:dyDescent="0.3">
      <c r="A99" s="498">
        <v>1517461</v>
      </c>
      <c r="B99" s="17">
        <v>7461</v>
      </c>
      <c r="C99" s="49" t="s">
        <v>141</v>
      </c>
      <c r="D99" s="59" t="s">
        <v>142</v>
      </c>
      <c r="E99" s="32" t="s">
        <v>158</v>
      </c>
      <c r="F99" s="32" t="s">
        <v>626</v>
      </c>
      <c r="G99" s="109">
        <f t="shared" si="11"/>
        <v>12000000</v>
      </c>
      <c r="H99" s="489"/>
      <c r="I99" s="489">
        <v>12000000</v>
      </c>
      <c r="J99" s="111">
        <f t="shared" si="12"/>
        <v>12000000</v>
      </c>
    </row>
    <row r="100" spans="1:10" ht="59.4" customHeight="1" thickBot="1" x14ac:dyDescent="0.3">
      <c r="A100" s="490" t="s">
        <v>206</v>
      </c>
      <c r="B100" s="499"/>
      <c r="C100" s="499"/>
      <c r="D100" s="493" t="s">
        <v>512</v>
      </c>
      <c r="E100" s="494"/>
      <c r="F100" s="494"/>
      <c r="G100" s="496">
        <f>G101</f>
        <v>145000</v>
      </c>
      <c r="H100" s="496">
        <f t="shared" ref="H100:J101" si="13">H101</f>
        <v>145000</v>
      </c>
      <c r="I100" s="496">
        <f t="shared" si="13"/>
        <v>0</v>
      </c>
      <c r="J100" s="497">
        <f t="shared" si="13"/>
        <v>0</v>
      </c>
    </row>
    <row r="101" spans="1:10" ht="45.75" customHeight="1" x14ac:dyDescent="0.25">
      <c r="A101" s="105">
        <v>1610000</v>
      </c>
      <c r="B101" s="65"/>
      <c r="C101" s="65"/>
      <c r="D101" s="107" t="s">
        <v>512</v>
      </c>
      <c r="E101" s="50"/>
      <c r="F101" s="50"/>
      <c r="G101" s="110">
        <f>G102</f>
        <v>145000</v>
      </c>
      <c r="H101" s="110">
        <f t="shared" si="13"/>
        <v>145000</v>
      </c>
      <c r="I101" s="110">
        <f t="shared" si="13"/>
        <v>0</v>
      </c>
      <c r="J101" s="173">
        <f t="shared" si="13"/>
        <v>0</v>
      </c>
    </row>
    <row r="102" spans="1:10" ht="68.400000000000006" customHeight="1" thickBot="1" x14ac:dyDescent="0.3">
      <c r="A102" s="336" t="s">
        <v>511</v>
      </c>
      <c r="B102" s="120">
        <v>6014</v>
      </c>
      <c r="C102" s="338" t="s">
        <v>29</v>
      </c>
      <c r="D102" s="113" t="s">
        <v>503</v>
      </c>
      <c r="E102" s="32" t="s">
        <v>158</v>
      </c>
      <c r="F102" s="32" t="s">
        <v>571</v>
      </c>
      <c r="G102" s="486">
        <f>H102+J102</f>
        <v>145000</v>
      </c>
      <c r="H102" s="112">
        <v>145000</v>
      </c>
      <c r="I102" s="112"/>
      <c r="J102" s="487"/>
    </row>
    <row r="103" spans="1:10" ht="60" customHeight="1" thickBot="1" x14ac:dyDescent="0.3">
      <c r="A103" s="490">
        <v>2700000</v>
      </c>
      <c r="B103" s="495"/>
      <c r="C103" s="495"/>
      <c r="D103" s="493" t="s">
        <v>211</v>
      </c>
      <c r="E103" s="22"/>
      <c r="F103" s="22"/>
      <c r="G103" s="496">
        <f>G104</f>
        <v>4440660</v>
      </c>
      <c r="H103" s="496">
        <f t="shared" ref="H103:J103" si="14">H104</f>
        <v>4440660</v>
      </c>
      <c r="I103" s="496">
        <f t="shared" si="14"/>
        <v>0</v>
      </c>
      <c r="J103" s="497">
        <f t="shared" si="14"/>
        <v>0</v>
      </c>
    </row>
    <row r="104" spans="1:10" ht="57" customHeight="1" x14ac:dyDescent="0.25">
      <c r="A104" s="105">
        <v>2710000</v>
      </c>
      <c r="B104" s="106"/>
      <c r="C104" s="106"/>
      <c r="D104" s="107" t="s">
        <v>211</v>
      </c>
      <c r="E104" s="50"/>
      <c r="F104" s="50"/>
      <c r="G104" s="110">
        <f>G105</f>
        <v>4440660</v>
      </c>
      <c r="H104" s="110">
        <f t="shared" ref="H104:J104" si="15">H105</f>
        <v>4440660</v>
      </c>
      <c r="I104" s="110">
        <f t="shared" si="15"/>
        <v>0</v>
      </c>
      <c r="J104" s="173">
        <f t="shared" si="15"/>
        <v>0</v>
      </c>
    </row>
    <row r="105" spans="1:10" ht="81.75" customHeight="1" thickBot="1" x14ac:dyDescent="0.3">
      <c r="A105" s="9">
        <v>2717413</v>
      </c>
      <c r="B105" s="10">
        <v>7413</v>
      </c>
      <c r="C105" s="97" t="s">
        <v>256</v>
      </c>
      <c r="D105" s="35" t="s">
        <v>255</v>
      </c>
      <c r="E105" s="35" t="s">
        <v>254</v>
      </c>
      <c r="F105" s="35" t="s">
        <v>510</v>
      </c>
      <c r="G105" s="486">
        <f>H105+J105</f>
        <v>4440660</v>
      </c>
      <c r="H105" s="112">
        <f>5407680-967020</f>
        <v>4440660</v>
      </c>
      <c r="I105" s="112">
        <v>0</v>
      </c>
      <c r="J105" s="487">
        <v>0</v>
      </c>
    </row>
    <row r="106" spans="1:10" ht="64.95" customHeight="1" thickBot="1" x14ac:dyDescent="0.3">
      <c r="A106" s="490">
        <v>3100000</v>
      </c>
      <c r="B106" s="491"/>
      <c r="C106" s="492"/>
      <c r="D106" s="493" t="s">
        <v>215</v>
      </c>
      <c r="E106" s="494"/>
      <c r="F106" s="494"/>
      <c r="G106" s="496">
        <f>G107</f>
        <v>226820</v>
      </c>
      <c r="H106" s="496">
        <f t="shared" ref="H106:J106" si="16">H107</f>
        <v>226820</v>
      </c>
      <c r="I106" s="496">
        <f t="shared" si="16"/>
        <v>0</v>
      </c>
      <c r="J106" s="497">
        <f t="shared" si="16"/>
        <v>0</v>
      </c>
    </row>
    <row r="107" spans="1:10" ht="52.2" customHeight="1" x14ac:dyDescent="0.25">
      <c r="A107" s="105">
        <v>3110000</v>
      </c>
      <c r="B107" s="16"/>
      <c r="C107" s="101"/>
      <c r="D107" s="107" t="s">
        <v>215</v>
      </c>
      <c r="E107" s="86"/>
      <c r="F107" s="86"/>
      <c r="G107" s="488">
        <f>G108+G109</f>
        <v>226820</v>
      </c>
      <c r="H107" s="488">
        <f>H108+H109</f>
        <v>226820</v>
      </c>
      <c r="I107" s="488">
        <f t="shared" ref="I107:J107" si="17">I108+I109</f>
        <v>0</v>
      </c>
      <c r="J107" s="534">
        <f t="shared" si="17"/>
        <v>0</v>
      </c>
    </row>
    <row r="108" spans="1:10" ht="144.75" customHeight="1" x14ac:dyDescent="0.25">
      <c r="A108" s="9">
        <v>3117693</v>
      </c>
      <c r="B108" s="10">
        <v>7693</v>
      </c>
      <c r="C108" s="97" t="s">
        <v>178</v>
      </c>
      <c r="D108" s="35" t="s">
        <v>500</v>
      </c>
      <c r="E108" s="32" t="s">
        <v>231</v>
      </c>
      <c r="F108" s="79" t="s">
        <v>568</v>
      </c>
      <c r="G108" s="486">
        <f>H108+J108</f>
        <v>153500</v>
      </c>
      <c r="H108" s="112">
        <f>0+153500</f>
        <v>153500</v>
      </c>
      <c r="I108" s="112"/>
      <c r="J108" s="487"/>
    </row>
    <row r="109" spans="1:10" ht="63" customHeight="1" x14ac:dyDescent="0.25">
      <c r="A109" s="9">
        <v>3118110</v>
      </c>
      <c r="B109" s="10">
        <v>8110</v>
      </c>
      <c r="C109" s="97" t="s">
        <v>245</v>
      </c>
      <c r="D109" s="35" t="s">
        <v>246</v>
      </c>
      <c r="E109" s="32" t="s">
        <v>158</v>
      </c>
      <c r="F109" s="32" t="s">
        <v>571</v>
      </c>
      <c r="G109" s="486">
        <f>H109+J109</f>
        <v>73320</v>
      </c>
      <c r="H109" s="112">
        <f>0+73320</f>
        <v>73320</v>
      </c>
      <c r="I109" s="112"/>
      <c r="J109" s="487"/>
    </row>
    <row r="110" spans="1:10" ht="16.2" thickBot="1" x14ac:dyDescent="0.3">
      <c r="A110" s="357" t="s">
        <v>6</v>
      </c>
      <c r="B110" s="358" t="s">
        <v>6</v>
      </c>
      <c r="C110" s="358" t="s">
        <v>6</v>
      </c>
      <c r="D110" s="359" t="s">
        <v>150</v>
      </c>
      <c r="E110" s="358" t="s">
        <v>6</v>
      </c>
      <c r="F110" s="358" t="s">
        <v>6</v>
      </c>
      <c r="G110" s="360">
        <f>G23+G40+G52+G60+G63+G78+G88+G100+G103+G106</f>
        <v>279931164</v>
      </c>
      <c r="H110" s="360">
        <f>H23+H40+H52+H60+H63+H78+H88+H100+H103+H106</f>
        <v>196052201</v>
      </c>
      <c r="I110" s="360">
        <f>I23+I40+I52+I60+I63+I78+I88</f>
        <v>83878963</v>
      </c>
      <c r="J110" s="361">
        <f>J23+J40+J52+J60+J63+J78+J88</f>
        <v>82822583</v>
      </c>
    </row>
    <row r="111" spans="1:10" ht="13.5" customHeight="1" x14ac:dyDescent="0.25">
      <c r="A111" s="342"/>
      <c r="B111" s="342"/>
      <c r="C111" s="342"/>
      <c r="D111" s="343"/>
      <c r="E111" s="343"/>
      <c r="F111" s="343"/>
      <c r="G111" s="344"/>
      <c r="H111" s="344"/>
      <c r="I111" s="344"/>
      <c r="J111" s="344"/>
    </row>
    <row r="112" spans="1:10" ht="13.5" customHeight="1" x14ac:dyDescent="0.25">
      <c r="A112" s="342"/>
      <c r="B112" s="342"/>
      <c r="C112" s="342"/>
      <c r="D112" s="343"/>
      <c r="E112" s="343"/>
      <c r="F112" s="343"/>
      <c r="G112" s="344"/>
      <c r="H112" s="344"/>
      <c r="I112" s="344"/>
      <c r="J112" s="344"/>
    </row>
    <row r="113" spans="1:16" ht="17.25" customHeight="1" x14ac:dyDescent="0.3">
      <c r="A113" s="345"/>
      <c r="B113" s="345"/>
      <c r="C113" s="345"/>
      <c r="D113" s="345"/>
      <c r="E113" s="345"/>
      <c r="F113" s="345"/>
      <c r="G113" s="345"/>
      <c r="H113" s="345"/>
      <c r="I113" s="345"/>
      <c r="J113" s="345"/>
    </row>
    <row r="114" spans="1:16" s="72" customFormat="1" ht="25.5" customHeight="1" x14ac:dyDescent="0.3">
      <c r="A114" s="790" t="s">
        <v>551</v>
      </c>
      <c r="B114" s="790"/>
      <c r="C114" s="790"/>
      <c r="D114" s="790"/>
      <c r="E114" s="790"/>
      <c r="F114" s="790"/>
      <c r="G114" s="790"/>
      <c r="H114" s="355"/>
      <c r="I114" s="355"/>
      <c r="J114" s="356"/>
      <c r="K114" s="68"/>
      <c r="L114" s="69"/>
      <c r="M114" s="68"/>
      <c r="N114" s="68"/>
      <c r="O114" s="70"/>
      <c r="P114" s="71"/>
    </row>
    <row r="115" spans="1:16" s="61" customFormat="1" ht="21" x14ac:dyDescent="0.4">
      <c r="A115" s="60"/>
      <c r="B115" s="60"/>
      <c r="G115" s="62"/>
    </row>
    <row r="116" spans="1:16" customFormat="1" ht="15.6" x14ac:dyDescent="0.3">
      <c r="A116" s="63"/>
      <c r="B116" s="63"/>
    </row>
  </sheetData>
  <mergeCells count="13">
    <mergeCell ref="A114:G114"/>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1"/>
  <sheetViews>
    <sheetView view="pageBreakPreview" topLeftCell="A81" zoomScale="70" zoomScaleNormal="50" zoomScaleSheetLayoutView="70" workbookViewId="0">
      <selection activeCell="G78" sqref="G78"/>
    </sheetView>
  </sheetViews>
  <sheetFormatPr defaultColWidth="9.33203125" defaultRowHeight="13.8" x14ac:dyDescent="0.25"/>
  <cols>
    <col min="1" max="1" width="14.5546875" style="181" customWidth="1"/>
    <col min="2" max="2" width="15.109375" style="182" customWidth="1"/>
    <col min="3" max="3" width="11" style="183" customWidth="1"/>
    <col min="4" max="4" width="51.44140625" style="184" customWidth="1"/>
    <col min="5" max="5" width="60.109375" style="185" customWidth="1"/>
    <col min="6" max="6" width="15.33203125" style="183" customWidth="1"/>
    <col min="7" max="7" width="18" style="329" customWidth="1"/>
    <col min="8" max="8" width="15.6640625" style="329" customWidth="1"/>
    <col min="9" max="9" width="13.88671875" style="329" customWidth="1"/>
    <col min="10" max="10" width="22.88671875" style="188" customWidth="1"/>
    <col min="11" max="11" width="13.88671875" style="188" customWidth="1"/>
    <col min="12" max="12" width="9.33203125" style="181"/>
    <col min="13" max="13" width="16.88671875" style="181" bestFit="1" customWidth="1"/>
    <col min="14" max="14" width="9.33203125" style="181"/>
    <col min="15" max="15" width="13.6640625" style="181" bestFit="1" customWidth="1"/>
    <col min="16" max="256" width="9.33203125" style="181"/>
    <col min="257" max="257" width="15" style="181" customWidth="1"/>
    <col min="258" max="258" width="12.6640625" style="181" customWidth="1"/>
    <col min="259" max="259" width="11.6640625" style="181" customWidth="1"/>
    <col min="260" max="260" width="44.88671875" style="181" customWidth="1"/>
    <col min="261" max="261" width="54.6640625" style="181" customWidth="1"/>
    <col min="262" max="262" width="15.33203125" style="181" customWidth="1"/>
    <col min="263" max="264" width="19.33203125" style="181" customWidth="1"/>
    <col min="265" max="265" width="13.88671875" style="181" customWidth="1"/>
    <col min="266" max="266" width="25.33203125" style="181" customWidth="1"/>
    <col min="267" max="267" width="16.33203125" style="181" customWidth="1"/>
    <col min="268" max="512" width="9.33203125" style="181"/>
    <col min="513" max="513" width="15" style="181" customWidth="1"/>
    <col min="514" max="514" width="12.6640625" style="181" customWidth="1"/>
    <col min="515" max="515" width="11.6640625" style="181" customWidth="1"/>
    <col min="516" max="516" width="44.88671875" style="181" customWidth="1"/>
    <col min="517" max="517" width="54.6640625" style="181" customWidth="1"/>
    <col min="518" max="518" width="15.33203125" style="181" customWidth="1"/>
    <col min="519" max="520" width="19.33203125" style="181" customWidth="1"/>
    <col min="521" max="521" width="13.88671875" style="181" customWidth="1"/>
    <col min="522" max="522" width="25.33203125" style="181" customWidth="1"/>
    <col min="523" max="523" width="16.33203125" style="181" customWidth="1"/>
    <col min="524" max="768" width="9.33203125" style="181"/>
    <col min="769" max="769" width="15" style="181" customWidth="1"/>
    <col min="770" max="770" width="12.6640625" style="181" customWidth="1"/>
    <col min="771" max="771" width="11.6640625" style="181" customWidth="1"/>
    <col min="772" max="772" width="44.88671875" style="181" customWidth="1"/>
    <col min="773" max="773" width="54.6640625" style="181" customWidth="1"/>
    <col min="774" max="774" width="15.33203125" style="181" customWidth="1"/>
    <col min="775" max="776" width="19.33203125" style="181" customWidth="1"/>
    <col min="777" max="777" width="13.88671875" style="181" customWidth="1"/>
    <col min="778" max="778" width="25.33203125" style="181" customWidth="1"/>
    <col min="779" max="779" width="16.33203125" style="181" customWidth="1"/>
    <col min="780" max="1024" width="9.33203125" style="181"/>
    <col min="1025" max="1025" width="15" style="181" customWidth="1"/>
    <col min="1026" max="1026" width="12.6640625" style="181" customWidth="1"/>
    <col min="1027" max="1027" width="11.6640625" style="181" customWidth="1"/>
    <col min="1028" max="1028" width="44.88671875" style="181" customWidth="1"/>
    <col min="1029" max="1029" width="54.6640625" style="181" customWidth="1"/>
    <col min="1030" max="1030" width="15.33203125" style="181" customWidth="1"/>
    <col min="1031" max="1032" width="19.33203125" style="181" customWidth="1"/>
    <col min="1033" max="1033" width="13.88671875" style="181" customWidth="1"/>
    <col min="1034" max="1034" width="25.33203125" style="181" customWidth="1"/>
    <col min="1035" max="1035" width="16.33203125" style="181" customWidth="1"/>
    <col min="1036" max="1280" width="9.33203125" style="181"/>
    <col min="1281" max="1281" width="15" style="181" customWidth="1"/>
    <col min="1282" max="1282" width="12.6640625" style="181" customWidth="1"/>
    <col min="1283" max="1283" width="11.6640625" style="181" customWidth="1"/>
    <col min="1284" max="1284" width="44.88671875" style="181" customWidth="1"/>
    <col min="1285" max="1285" width="54.6640625" style="181" customWidth="1"/>
    <col min="1286" max="1286" width="15.33203125" style="181" customWidth="1"/>
    <col min="1287" max="1288" width="19.33203125" style="181" customWidth="1"/>
    <col min="1289" max="1289" width="13.88671875" style="181" customWidth="1"/>
    <col min="1290" max="1290" width="25.33203125" style="181" customWidth="1"/>
    <col min="1291" max="1291" width="16.33203125" style="181" customWidth="1"/>
    <col min="1292" max="1536" width="9.33203125" style="181"/>
    <col min="1537" max="1537" width="15" style="181" customWidth="1"/>
    <col min="1538" max="1538" width="12.6640625" style="181" customWidth="1"/>
    <col min="1539" max="1539" width="11.6640625" style="181" customWidth="1"/>
    <col min="1540" max="1540" width="44.88671875" style="181" customWidth="1"/>
    <col min="1541" max="1541" width="54.6640625" style="181" customWidth="1"/>
    <col min="1542" max="1542" width="15.33203125" style="181" customWidth="1"/>
    <col min="1543" max="1544" width="19.33203125" style="181" customWidth="1"/>
    <col min="1545" max="1545" width="13.88671875" style="181" customWidth="1"/>
    <col min="1546" max="1546" width="25.33203125" style="181" customWidth="1"/>
    <col min="1547" max="1547" width="16.33203125" style="181" customWidth="1"/>
    <col min="1548" max="1792" width="9.33203125" style="181"/>
    <col min="1793" max="1793" width="15" style="181" customWidth="1"/>
    <col min="1794" max="1794" width="12.6640625" style="181" customWidth="1"/>
    <col min="1795" max="1795" width="11.6640625" style="181" customWidth="1"/>
    <col min="1796" max="1796" width="44.88671875" style="181" customWidth="1"/>
    <col min="1797" max="1797" width="54.6640625" style="181" customWidth="1"/>
    <col min="1798" max="1798" width="15.33203125" style="181" customWidth="1"/>
    <col min="1799" max="1800" width="19.33203125" style="181" customWidth="1"/>
    <col min="1801" max="1801" width="13.88671875" style="181" customWidth="1"/>
    <col min="1802" max="1802" width="25.33203125" style="181" customWidth="1"/>
    <col min="1803" max="1803" width="16.33203125" style="181" customWidth="1"/>
    <col min="1804" max="2048" width="9.33203125" style="181"/>
    <col min="2049" max="2049" width="15" style="181" customWidth="1"/>
    <col min="2050" max="2050" width="12.6640625" style="181" customWidth="1"/>
    <col min="2051" max="2051" width="11.6640625" style="181" customWidth="1"/>
    <col min="2052" max="2052" width="44.88671875" style="181" customWidth="1"/>
    <col min="2053" max="2053" width="54.6640625" style="181" customWidth="1"/>
    <col min="2054" max="2054" width="15.33203125" style="181" customWidth="1"/>
    <col min="2055" max="2056" width="19.33203125" style="181" customWidth="1"/>
    <col min="2057" max="2057" width="13.88671875" style="181" customWidth="1"/>
    <col min="2058" max="2058" width="25.33203125" style="181" customWidth="1"/>
    <col min="2059" max="2059" width="16.33203125" style="181" customWidth="1"/>
    <col min="2060" max="2304" width="9.33203125" style="181"/>
    <col min="2305" max="2305" width="15" style="181" customWidth="1"/>
    <col min="2306" max="2306" width="12.6640625" style="181" customWidth="1"/>
    <col min="2307" max="2307" width="11.6640625" style="181" customWidth="1"/>
    <col min="2308" max="2308" width="44.88671875" style="181" customWidth="1"/>
    <col min="2309" max="2309" width="54.6640625" style="181" customWidth="1"/>
    <col min="2310" max="2310" width="15.33203125" style="181" customWidth="1"/>
    <col min="2311" max="2312" width="19.33203125" style="181" customWidth="1"/>
    <col min="2313" max="2313" width="13.88671875" style="181" customWidth="1"/>
    <col min="2314" max="2314" width="25.33203125" style="181" customWidth="1"/>
    <col min="2315" max="2315" width="16.33203125" style="181" customWidth="1"/>
    <col min="2316" max="2560" width="9.33203125" style="181"/>
    <col min="2561" max="2561" width="15" style="181" customWidth="1"/>
    <col min="2562" max="2562" width="12.6640625" style="181" customWidth="1"/>
    <col min="2563" max="2563" width="11.6640625" style="181" customWidth="1"/>
    <col min="2564" max="2564" width="44.88671875" style="181" customWidth="1"/>
    <col min="2565" max="2565" width="54.6640625" style="181" customWidth="1"/>
    <col min="2566" max="2566" width="15.33203125" style="181" customWidth="1"/>
    <col min="2567" max="2568" width="19.33203125" style="181" customWidth="1"/>
    <col min="2569" max="2569" width="13.88671875" style="181" customWidth="1"/>
    <col min="2570" max="2570" width="25.33203125" style="181" customWidth="1"/>
    <col min="2571" max="2571" width="16.33203125" style="181" customWidth="1"/>
    <col min="2572" max="2816" width="9.33203125" style="181"/>
    <col min="2817" max="2817" width="15" style="181" customWidth="1"/>
    <col min="2818" max="2818" width="12.6640625" style="181" customWidth="1"/>
    <col min="2819" max="2819" width="11.6640625" style="181" customWidth="1"/>
    <col min="2820" max="2820" width="44.88671875" style="181" customWidth="1"/>
    <col min="2821" max="2821" width="54.6640625" style="181" customWidth="1"/>
    <col min="2822" max="2822" width="15.33203125" style="181" customWidth="1"/>
    <col min="2823" max="2824" width="19.33203125" style="181" customWidth="1"/>
    <col min="2825" max="2825" width="13.88671875" style="181" customWidth="1"/>
    <col min="2826" max="2826" width="25.33203125" style="181" customWidth="1"/>
    <col min="2827" max="2827" width="16.33203125" style="181" customWidth="1"/>
    <col min="2828" max="3072" width="9.33203125" style="181"/>
    <col min="3073" max="3073" width="15" style="181" customWidth="1"/>
    <col min="3074" max="3074" width="12.6640625" style="181" customWidth="1"/>
    <col min="3075" max="3075" width="11.6640625" style="181" customWidth="1"/>
    <col min="3076" max="3076" width="44.88671875" style="181" customWidth="1"/>
    <col min="3077" max="3077" width="54.6640625" style="181" customWidth="1"/>
    <col min="3078" max="3078" width="15.33203125" style="181" customWidth="1"/>
    <col min="3079" max="3080" width="19.33203125" style="181" customWidth="1"/>
    <col min="3081" max="3081" width="13.88671875" style="181" customWidth="1"/>
    <col min="3082" max="3082" width="25.33203125" style="181" customWidth="1"/>
    <col min="3083" max="3083" width="16.33203125" style="181" customWidth="1"/>
    <col min="3084" max="3328" width="9.33203125" style="181"/>
    <col min="3329" max="3329" width="15" style="181" customWidth="1"/>
    <col min="3330" max="3330" width="12.6640625" style="181" customWidth="1"/>
    <col min="3331" max="3331" width="11.6640625" style="181" customWidth="1"/>
    <col min="3332" max="3332" width="44.88671875" style="181" customWidth="1"/>
    <col min="3333" max="3333" width="54.6640625" style="181" customWidth="1"/>
    <col min="3334" max="3334" width="15.33203125" style="181" customWidth="1"/>
    <col min="3335" max="3336" width="19.33203125" style="181" customWidth="1"/>
    <col min="3337" max="3337" width="13.88671875" style="181" customWidth="1"/>
    <col min="3338" max="3338" width="25.33203125" style="181" customWidth="1"/>
    <col min="3339" max="3339" width="16.33203125" style="181" customWidth="1"/>
    <col min="3340" max="3584" width="9.33203125" style="181"/>
    <col min="3585" max="3585" width="15" style="181" customWidth="1"/>
    <col min="3586" max="3586" width="12.6640625" style="181" customWidth="1"/>
    <col min="3587" max="3587" width="11.6640625" style="181" customWidth="1"/>
    <col min="3588" max="3588" width="44.88671875" style="181" customWidth="1"/>
    <col min="3589" max="3589" width="54.6640625" style="181" customWidth="1"/>
    <col min="3590" max="3590" width="15.33203125" style="181" customWidth="1"/>
    <col min="3591" max="3592" width="19.33203125" style="181" customWidth="1"/>
    <col min="3593" max="3593" width="13.88671875" style="181" customWidth="1"/>
    <col min="3594" max="3594" width="25.33203125" style="181" customWidth="1"/>
    <col min="3595" max="3595" width="16.33203125" style="181" customWidth="1"/>
    <col min="3596" max="3840" width="9.33203125" style="181"/>
    <col min="3841" max="3841" width="15" style="181" customWidth="1"/>
    <col min="3842" max="3842" width="12.6640625" style="181" customWidth="1"/>
    <col min="3843" max="3843" width="11.6640625" style="181" customWidth="1"/>
    <col min="3844" max="3844" width="44.88671875" style="181" customWidth="1"/>
    <col min="3845" max="3845" width="54.6640625" style="181" customWidth="1"/>
    <col min="3846" max="3846" width="15.33203125" style="181" customWidth="1"/>
    <col min="3847" max="3848" width="19.33203125" style="181" customWidth="1"/>
    <col min="3849" max="3849" width="13.88671875" style="181" customWidth="1"/>
    <col min="3850" max="3850" width="25.33203125" style="181" customWidth="1"/>
    <col min="3851" max="3851" width="16.33203125" style="181" customWidth="1"/>
    <col min="3852" max="4096" width="9.33203125" style="181"/>
    <col min="4097" max="4097" width="15" style="181" customWidth="1"/>
    <col min="4098" max="4098" width="12.6640625" style="181" customWidth="1"/>
    <col min="4099" max="4099" width="11.6640625" style="181" customWidth="1"/>
    <col min="4100" max="4100" width="44.88671875" style="181" customWidth="1"/>
    <col min="4101" max="4101" width="54.6640625" style="181" customWidth="1"/>
    <col min="4102" max="4102" width="15.33203125" style="181" customWidth="1"/>
    <col min="4103" max="4104" width="19.33203125" style="181" customWidth="1"/>
    <col min="4105" max="4105" width="13.88671875" style="181" customWidth="1"/>
    <col min="4106" max="4106" width="25.33203125" style="181" customWidth="1"/>
    <col min="4107" max="4107" width="16.33203125" style="181" customWidth="1"/>
    <col min="4108" max="4352" width="9.33203125" style="181"/>
    <col min="4353" max="4353" width="15" style="181" customWidth="1"/>
    <col min="4354" max="4354" width="12.6640625" style="181" customWidth="1"/>
    <col min="4355" max="4355" width="11.6640625" style="181" customWidth="1"/>
    <col min="4356" max="4356" width="44.88671875" style="181" customWidth="1"/>
    <col min="4357" max="4357" width="54.6640625" style="181" customWidth="1"/>
    <col min="4358" max="4358" width="15.33203125" style="181" customWidth="1"/>
    <col min="4359" max="4360" width="19.33203125" style="181" customWidth="1"/>
    <col min="4361" max="4361" width="13.88671875" style="181" customWidth="1"/>
    <col min="4362" max="4362" width="25.33203125" style="181" customWidth="1"/>
    <col min="4363" max="4363" width="16.33203125" style="181" customWidth="1"/>
    <col min="4364" max="4608" width="9.33203125" style="181"/>
    <col min="4609" max="4609" width="15" style="181" customWidth="1"/>
    <col min="4610" max="4610" width="12.6640625" style="181" customWidth="1"/>
    <col min="4611" max="4611" width="11.6640625" style="181" customWidth="1"/>
    <col min="4612" max="4612" width="44.88671875" style="181" customWidth="1"/>
    <col min="4613" max="4613" width="54.6640625" style="181" customWidth="1"/>
    <col min="4614" max="4614" width="15.33203125" style="181" customWidth="1"/>
    <col min="4615" max="4616" width="19.33203125" style="181" customWidth="1"/>
    <col min="4617" max="4617" width="13.88671875" style="181" customWidth="1"/>
    <col min="4618" max="4618" width="25.33203125" style="181" customWidth="1"/>
    <col min="4619" max="4619" width="16.33203125" style="181" customWidth="1"/>
    <col min="4620" max="4864" width="9.33203125" style="181"/>
    <col min="4865" max="4865" width="15" style="181" customWidth="1"/>
    <col min="4866" max="4866" width="12.6640625" style="181" customWidth="1"/>
    <col min="4867" max="4867" width="11.6640625" style="181" customWidth="1"/>
    <col min="4868" max="4868" width="44.88671875" style="181" customWidth="1"/>
    <col min="4869" max="4869" width="54.6640625" style="181" customWidth="1"/>
    <col min="4870" max="4870" width="15.33203125" style="181" customWidth="1"/>
    <col min="4871" max="4872" width="19.33203125" style="181" customWidth="1"/>
    <col min="4873" max="4873" width="13.88671875" style="181" customWidth="1"/>
    <col min="4874" max="4874" width="25.33203125" style="181" customWidth="1"/>
    <col min="4875" max="4875" width="16.33203125" style="181" customWidth="1"/>
    <col min="4876" max="5120" width="9.33203125" style="181"/>
    <col min="5121" max="5121" width="15" style="181" customWidth="1"/>
    <col min="5122" max="5122" width="12.6640625" style="181" customWidth="1"/>
    <col min="5123" max="5123" width="11.6640625" style="181" customWidth="1"/>
    <col min="5124" max="5124" width="44.88671875" style="181" customWidth="1"/>
    <col min="5125" max="5125" width="54.6640625" style="181" customWidth="1"/>
    <col min="5126" max="5126" width="15.33203125" style="181" customWidth="1"/>
    <col min="5127" max="5128" width="19.33203125" style="181" customWidth="1"/>
    <col min="5129" max="5129" width="13.88671875" style="181" customWidth="1"/>
    <col min="5130" max="5130" width="25.33203125" style="181" customWidth="1"/>
    <col min="5131" max="5131" width="16.33203125" style="181" customWidth="1"/>
    <col min="5132" max="5376" width="9.33203125" style="181"/>
    <col min="5377" max="5377" width="15" style="181" customWidth="1"/>
    <col min="5378" max="5378" width="12.6640625" style="181" customWidth="1"/>
    <col min="5379" max="5379" width="11.6640625" style="181" customWidth="1"/>
    <col min="5380" max="5380" width="44.88671875" style="181" customWidth="1"/>
    <col min="5381" max="5381" width="54.6640625" style="181" customWidth="1"/>
    <col min="5382" max="5382" width="15.33203125" style="181" customWidth="1"/>
    <col min="5383" max="5384" width="19.33203125" style="181" customWidth="1"/>
    <col min="5385" max="5385" width="13.88671875" style="181" customWidth="1"/>
    <col min="5386" max="5386" width="25.33203125" style="181" customWidth="1"/>
    <col min="5387" max="5387" width="16.33203125" style="181" customWidth="1"/>
    <col min="5388" max="5632" width="9.33203125" style="181"/>
    <col min="5633" max="5633" width="15" style="181" customWidth="1"/>
    <col min="5634" max="5634" width="12.6640625" style="181" customWidth="1"/>
    <col min="5635" max="5635" width="11.6640625" style="181" customWidth="1"/>
    <col min="5636" max="5636" width="44.88671875" style="181" customWidth="1"/>
    <col min="5637" max="5637" width="54.6640625" style="181" customWidth="1"/>
    <col min="5638" max="5638" width="15.33203125" style="181" customWidth="1"/>
    <col min="5639" max="5640" width="19.33203125" style="181" customWidth="1"/>
    <col min="5641" max="5641" width="13.88671875" style="181" customWidth="1"/>
    <col min="5642" max="5642" width="25.33203125" style="181" customWidth="1"/>
    <col min="5643" max="5643" width="16.33203125" style="181" customWidth="1"/>
    <col min="5644" max="5888" width="9.33203125" style="181"/>
    <col min="5889" max="5889" width="15" style="181" customWidth="1"/>
    <col min="5890" max="5890" width="12.6640625" style="181" customWidth="1"/>
    <col min="5891" max="5891" width="11.6640625" style="181" customWidth="1"/>
    <col min="5892" max="5892" width="44.88671875" style="181" customWidth="1"/>
    <col min="5893" max="5893" width="54.6640625" style="181" customWidth="1"/>
    <col min="5894" max="5894" width="15.33203125" style="181" customWidth="1"/>
    <col min="5895" max="5896" width="19.33203125" style="181" customWidth="1"/>
    <col min="5897" max="5897" width="13.88671875" style="181" customWidth="1"/>
    <col min="5898" max="5898" width="25.33203125" style="181" customWidth="1"/>
    <col min="5899" max="5899" width="16.33203125" style="181" customWidth="1"/>
    <col min="5900" max="6144" width="9.33203125" style="181"/>
    <col min="6145" max="6145" width="15" style="181" customWidth="1"/>
    <col min="6146" max="6146" width="12.6640625" style="181" customWidth="1"/>
    <col min="6147" max="6147" width="11.6640625" style="181" customWidth="1"/>
    <col min="6148" max="6148" width="44.88671875" style="181" customWidth="1"/>
    <col min="6149" max="6149" width="54.6640625" style="181" customWidth="1"/>
    <col min="6150" max="6150" width="15.33203125" style="181" customWidth="1"/>
    <col min="6151" max="6152" width="19.33203125" style="181" customWidth="1"/>
    <col min="6153" max="6153" width="13.88671875" style="181" customWidth="1"/>
    <col min="6154" max="6154" width="25.33203125" style="181" customWidth="1"/>
    <col min="6155" max="6155" width="16.33203125" style="181" customWidth="1"/>
    <col min="6156" max="6400" width="9.33203125" style="181"/>
    <col min="6401" max="6401" width="15" style="181" customWidth="1"/>
    <col min="6402" max="6402" width="12.6640625" style="181" customWidth="1"/>
    <col min="6403" max="6403" width="11.6640625" style="181" customWidth="1"/>
    <col min="6404" max="6404" width="44.88671875" style="181" customWidth="1"/>
    <col min="6405" max="6405" width="54.6640625" style="181" customWidth="1"/>
    <col min="6406" max="6406" width="15.33203125" style="181" customWidth="1"/>
    <col min="6407" max="6408" width="19.33203125" style="181" customWidth="1"/>
    <col min="6409" max="6409" width="13.88671875" style="181" customWidth="1"/>
    <col min="6410" max="6410" width="25.33203125" style="181" customWidth="1"/>
    <col min="6411" max="6411" width="16.33203125" style="181" customWidth="1"/>
    <col min="6412" max="6656" width="9.33203125" style="181"/>
    <col min="6657" max="6657" width="15" style="181" customWidth="1"/>
    <col min="6658" max="6658" width="12.6640625" style="181" customWidth="1"/>
    <col min="6659" max="6659" width="11.6640625" style="181" customWidth="1"/>
    <col min="6660" max="6660" width="44.88671875" style="181" customWidth="1"/>
    <col min="6661" max="6661" width="54.6640625" style="181" customWidth="1"/>
    <col min="6662" max="6662" width="15.33203125" style="181" customWidth="1"/>
    <col min="6663" max="6664" width="19.33203125" style="181" customWidth="1"/>
    <col min="6665" max="6665" width="13.88671875" style="181" customWidth="1"/>
    <col min="6666" max="6666" width="25.33203125" style="181" customWidth="1"/>
    <col min="6667" max="6667" width="16.33203125" style="181" customWidth="1"/>
    <col min="6668" max="6912" width="9.33203125" style="181"/>
    <col min="6913" max="6913" width="15" style="181" customWidth="1"/>
    <col min="6914" max="6914" width="12.6640625" style="181" customWidth="1"/>
    <col min="6915" max="6915" width="11.6640625" style="181" customWidth="1"/>
    <col min="6916" max="6916" width="44.88671875" style="181" customWidth="1"/>
    <col min="6917" max="6917" width="54.6640625" style="181" customWidth="1"/>
    <col min="6918" max="6918" width="15.33203125" style="181" customWidth="1"/>
    <col min="6919" max="6920" width="19.33203125" style="181" customWidth="1"/>
    <col min="6921" max="6921" width="13.88671875" style="181" customWidth="1"/>
    <col min="6922" max="6922" width="25.33203125" style="181" customWidth="1"/>
    <col min="6923" max="6923" width="16.33203125" style="181" customWidth="1"/>
    <col min="6924" max="7168" width="9.33203125" style="181"/>
    <col min="7169" max="7169" width="15" style="181" customWidth="1"/>
    <col min="7170" max="7170" width="12.6640625" style="181" customWidth="1"/>
    <col min="7171" max="7171" width="11.6640625" style="181" customWidth="1"/>
    <col min="7172" max="7172" width="44.88671875" style="181" customWidth="1"/>
    <col min="7173" max="7173" width="54.6640625" style="181" customWidth="1"/>
    <col min="7174" max="7174" width="15.33203125" style="181" customWidth="1"/>
    <col min="7175" max="7176" width="19.33203125" style="181" customWidth="1"/>
    <col min="7177" max="7177" width="13.88671875" style="181" customWidth="1"/>
    <col min="7178" max="7178" width="25.33203125" style="181" customWidth="1"/>
    <col min="7179" max="7179" width="16.33203125" style="181" customWidth="1"/>
    <col min="7180" max="7424" width="9.33203125" style="181"/>
    <col min="7425" max="7425" width="15" style="181" customWidth="1"/>
    <col min="7426" max="7426" width="12.6640625" style="181" customWidth="1"/>
    <col min="7427" max="7427" width="11.6640625" style="181" customWidth="1"/>
    <col min="7428" max="7428" width="44.88671875" style="181" customWidth="1"/>
    <col min="7429" max="7429" width="54.6640625" style="181" customWidth="1"/>
    <col min="7430" max="7430" width="15.33203125" style="181" customWidth="1"/>
    <col min="7431" max="7432" width="19.33203125" style="181" customWidth="1"/>
    <col min="7433" max="7433" width="13.88671875" style="181" customWidth="1"/>
    <col min="7434" max="7434" width="25.33203125" style="181" customWidth="1"/>
    <col min="7435" max="7435" width="16.33203125" style="181" customWidth="1"/>
    <col min="7436" max="7680" width="9.33203125" style="181"/>
    <col min="7681" max="7681" width="15" style="181" customWidth="1"/>
    <col min="7682" max="7682" width="12.6640625" style="181" customWidth="1"/>
    <col min="7683" max="7683" width="11.6640625" style="181" customWidth="1"/>
    <col min="7684" max="7684" width="44.88671875" style="181" customWidth="1"/>
    <col min="7685" max="7685" width="54.6640625" style="181" customWidth="1"/>
    <col min="7686" max="7686" width="15.33203125" style="181" customWidth="1"/>
    <col min="7687" max="7688" width="19.33203125" style="181" customWidth="1"/>
    <col min="7689" max="7689" width="13.88671875" style="181" customWidth="1"/>
    <col min="7690" max="7690" width="25.33203125" style="181" customWidth="1"/>
    <col min="7691" max="7691" width="16.33203125" style="181" customWidth="1"/>
    <col min="7692" max="7936" width="9.33203125" style="181"/>
    <col min="7937" max="7937" width="15" style="181" customWidth="1"/>
    <col min="7938" max="7938" width="12.6640625" style="181" customWidth="1"/>
    <col min="7939" max="7939" width="11.6640625" style="181" customWidth="1"/>
    <col min="7940" max="7940" width="44.88671875" style="181" customWidth="1"/>
    <col min="7941" max="7941" width="54.6640625" style="181" customWidth="1"/>
    <col min="7942" max="7942" width="15.33203125" style="181" customWidth="1"/>
    <col min="7943" max="7944" width="19.33203125" style="181" customWidth="1"/>
    <col min="7945" max="7945" width="13.88671875" style="181" customWidth="1"/>
    <col min="7946" max="7946" width="25.33203125" style="181" customWidth="1"/>
    <col min="7947" max="7947" width="16.33203125" style="181" customWidth="1"/>
    <col min="7948" max="8192" width="9.33203125" style="181"/>
    <col min="8193" max="8193" width="15" style="181" customWidth="1"/>
    <col min="8194" max="8194" width="12.6640625" style="181" customWidth="1"/>
    <col min="8195" max="8195" width="11.6640625" style="181" customWidth="1"/>
    <col min="8196" max="8196" width="44.88671875" style="181" customWidth="1"/>
    <col min="8197" max="8197" width="54.6640625" style="181" customWidth="1"/>
    <col min="8198" max="8198" width="15.33203125" style="181" customWidth="1"/>
    <col min="8199" max="8200" width="19.33203125" style="181" customWidth="1"/>
    <col min="8201" max="8201" width="13.88671875" style="181" customWidth="1"/>
    <col min="8202" max="8202" width="25.33203125" style="181" customWidth="1"/>
    <col min="8203" max="8203" width="16.33203125" style="181" customWidth="1"/>
    <col min="8204" max="8448" width="9.33203125" style="181"/>
    <col min="8449" max="8449" width="15" style="181" customWidth="1"/>
    <col min="8450" max="8450" width="12.6640625" style="181" customWidth="1"/>
    <col min="8451" max="8451" width="11.6640625" style="181" customWidth="1"/>
    <col min="8452" max="8452" width="44.88671875" style="181" customWidth="1"/>
    <col min="8453" max="8453" width="54.6640625" style="181" customWidth="1"/>
    <col min="8454" max="8454" width="15.33203125" style="181" customWidth="1"/>
    <col min="8455" max="8456" width="19.33203125" style="181" customWidth="1"/>
    <col min="8457" max="8457" width="13.88671875" style="181" customWidth="1"/>
    <col min="8458" max="8458" width="25.33203125" style="181" customWidth="1"/>
    <col min="8459" max="8459" width="16.33203125" style="181" customWidth="1"/>
    <col min="8460" max="8704" width="9.33203125" style="181"/>
    <col min="8705" max="8705" width="15" style="181" customWidth="1"/>
    <col min="8706" max="8706" width="12.6640625" style="181" customWidth="1"/>
    <col min="8707" max="8707" width="11.6640625" style="181" customWidth="1"/>
    <col min="8708" max="8708" width="44.88671875" style="181" customWidth="1"/>
    <col min="8709" max="8709" width="54.6640625" style="181" customWidth="1"/>
    <col min="8710" max="8710" width="15.33203125" style="181" customWidth="1"/>
    <col min="8711" max="8712" width="19.33203125" style="181" customWidth="1"/>
    <col min="8713" max="8713" width="13.88671875" style="181" customWidth="1"/>
    <col min="8714" max="8714" width="25.33203125" style="181" customWidth="1"/>
    <col min="8715" max="8715" width="16.33203125" style="181" customWidth="1"/>
    <col min="8716" max="8960" width="9.33203125" style="181"/>
    <col min="8961" max="8961" width="15" style="181" customWidth="1"/>
    <col min="8962" max="8962" width="12.6640625" style="181" customWidth="1"/>
    <col min="8963" max="8963" width="11.6640625" style="181" customWidth="1"/>
    <col min="8964" max="8964" width="44.88671875" style="181" customWidth="1"/>
    <col min="8965" max="8965" width="54.6640625" style="181" customWidth="1"/>
    <col min="8966" max="8966" width="15.33203125" style="181" customWidth="1"/>
    <col min="8967" max="8968" width="19.33203125" style="181" customWidth="1"/>
    <col min="8969" max="8969" width="13.88671875" style="181" customWidth="1"/>
    <col min="8970" max="8970" width="25.33203125" style="181" customWidth="1"/>
    <col min="8971" max="8971" width="16.33203125" style="181" customWidth="1"/>
    <col min="8972" max="9216" width="9.33203125" style="181"/>
    <col min="9217" max="9217" width="15" style="181" customWidth="1"/>
    <col min="9218" max="9218" width="12.6640625" style="181" customWidth="1"/>
    <col min="9219" max="9219" width="11.6640625" style="181" customWidth="1"/>
    <col min="9220" max="9220" width="44.88671875" style="181" customWidth="1"/>
    <col min="9221" max="9221" width="54.6640625" style="181" customWidth="1"/>
    <col min="9222" max="9222" width="15.33203125" style="181" customWidth="1"/>
    <col min="9223" max="9224" width="19.33203125" style="181" customWidth="1"/>
    <col min="9225" max="9225" width="13.88671875" style="181" customWidth="1"/>
    <col min="9226" max="9226" width="25.33203125" style="181" customWidth="1"/>
    <col min="9227" max="9227" width="16.33203125" style="181" customWidth="1"/>
    <col min="9228" max="9472" width="9.33203125" style="181"/>
    <col min="9473" max="9473" width="15" style="181" customWidth="1"/>
    <col min="9474" max="9474" width="12.6640625" style="181" customWidth="1"/>
    <col min="9475" max="9475" width="11.6640625" style="181" customWidth="1"/>
    <col min="9476" max="9476" width="44.88671875" style="181" customWidth="1"/>
    <col min="9477" max="9477" width="54.6640625" style="181" customWidth="1"/>
    <col min="9478" max="9478" width="15.33203125" style="181" customWidth="1"/>
    <col min="9479" max="9480" width="19.33203125" style="181" customWidth="1"/>
    <col min="9481" max="9481" width="13.88671875" style="181" customWidth="1"/>
    <col min="9482" max="9482" width="25.33203125" style="181" customWidth="1"/>
    <col min="9483" max="9483" width="16.33203125" style="181" customWidth="1"/>
    <col min="9484" max="9728" width="9.33203125" style="181"/>
    <col min="9729" max="9729" width="15" style="181" customWidth="1"/>
    <col min="9730" max="9730" width="12.6640625" style="181" customWidth="1"/>
    <col min="9731" max="9731" width="11.6640625" style="181" customWidth="1"/>
    <col min="9732" max="9732" width="44.88671875" style="181" customWidth="1"/>
    <col min="9733" max="9733" width="54.6640625" style="181" customWidth="1"/>
    <col min="9734" max="9734" width="15.33203125" style="181" customWidth="1"/>
    <col min="9735" max="9736" width="19.33203125" style="181" customWidth="1"/>
    <col min="9737" max="9737" width="13.88671875" style="181" customWidth="1"/>
    <col min="9738" max="9738" width="25.33203125" style="181" customWidth="1"/>
    <col min="9739" max="9739" width="16.33203125" style="181" customWidth="1"/>
    <col min="9740" max="9984" width="9.33203125" style="181"/>
    <col min="9985" max="9985" width="15" style="181" customWidth="1"/>
    <col min="9986" max="9986" width="12.6640625" style="181" customWidth="1"/>
    <col min="9987" max="9987" width="11.6640625" style="181" customWidth="1"/>
    <col min="9988" max="9988" width="44.88671875" style="181" customWidth="1"/>
    <col min="9989" max="9989" width="54.6640625" style="181" customWidth="1"/>
    <col min="9990" max="9990" width="15.33203125" style="181" customWidth="1"/>
    <col min="9991" max="9992" width="19.33203125" style="181" customWidth="1"/>
    <col min="9993" max="9993" width="13.88671875" style="181" customWidth="1"/>
    <col min="9994" max="9994" width="25.33203125" style="181" customWidth="1"/>
    <col min="9995" max="9995" width="16.33203125" style="181" customWidth="1"/>
    <col min="9996" max="10240" width="9.33203125" style="181"/>
    <col min="10241" max="10241" width="15" style="181" customWidth="1"/>
    <col min="10242" max="10242" width="12.6640625" style="181" customWidth="1"/>
    <col min="10243" max="10243" width="11.6640625" style="181" customWidth="1"/>
    <col min="10244" max="10244" width="44.88671875" style="181" customWidth="1"/>
    <col min="10245" max="10245" width="54.6640625" style="181" customWidth="1"/>
    <col min="10246" max="10246" width="15.33203125" style="181" customWidth="1"/>
    <col min="10247" max="10248" width="19.33203125" style="181" customWidth="1"/>
    <col min="10249" max="10249" width="13.88671875" style="181" customWidth="1"/>
    <col min="10250" max="10250" width="25.33203125" style="181" customWidth="1"/>
    <col min="10251" max="10251" width="16.33203125" style="181" customWidth="1"/>
    <col min="10252" max="10496" width="9.33203125" style="181"/>
    <col min="10497" max="10497" width="15" style="181" customWidth="1"/>
    <col min="10498" max="10498" width="12.6640625" style="181" customWidth="1"/>
    <col min="10499" max="10499" width="11.6640625" style="181" customWidth="1"/>
    <col min="10500" max="10500" width="44.88671875" style="181" customWidth="1"/>
    <col min="10501" max="10501" width="54.6640625" style="181" customWidth="1"/>
    <col min="10502" max="10502" width="15.33203125" style="181" customWidth="1"/>
    <col min="10503" max="10504" width="19.33203125" style="181" customWidth="1"/>
    <col min="10505" max="10505" width="13.88671875" style="181" customWidth="1"/>
    <col min="10506" max="10506" width="25.33203125" style="181" customWidth="1"/>
    <col min="10507" max="10507" width="16.33203125" style="181" customWidth="1"/>
    <col min="10508" max="10752" width="9.33203125" style="181"/>
    <col min="10753" max="10753" width="15" style="181" customWidth="1"/>
    <col min="10754" max="10754" width="12.6640625" style="181" customWidth="1"/>
    <col min="10755" max="10755" width="11.6640625" style="181" customWidth="1"/>
    <col min="10756" max="10756" width="44.88671875" style="181" customWidth="1"/>
    <col min="10757" max="10757" width="54.6640625" style="181" customWidth="1"/>
    <col min="10758" max="10758" width="15.33203125" style="181" customWidth="1"/>
    <col min="10759" max="10760" width="19.33203125" style="181" customWidth="1"/>
    <col min="10761" max="10761" width="13.88671875" style="181" customWidth="1"/>
    <col min="10762" max="10762" width="25.33203125" style="181" customWidth="1"/>
    <col min="10763" max="10763" width="16.33203125" style="181" customWidth="1"/>
    <col min="10764" max="11008" width="9.33203125" style="181"/>
    <col min="11009" max="11009" width="15" style="181" customWidth="1"/>
    <col min="11010" max="11010" width="12.6640625" style="181" customWidth="1"/>
    <col min="11011" max="11011" width="11.6640625" style="181" customWidth="1"/>
    <col min="11012" max="11012" width="44.88671875" style="181" customWidth="1"/>
    <col min="11013" max="11013" width="54.6640625" style="181" customWidth="1"/>
    <col min="11014" max="11014" width="15.33203125" style="181" customWidth="1"/>
    <col min="11015" max="11016" width="19.33203125" style="181" customWidth="1"/>
    <col min="11017" max="11017" width="13.88671875" style="181" customWidth="1"/>
    <col min="11018" max="11018" width="25.33203125" style="181" customWidth="1"/>
    <col min="11019" max="11019" width="16.33203125" style="181" customWidth="1"/>
    <col min="11020" max="11264" width="9.33203125" style="181"/>
    <col min="11265" max="11265" width="15" style="181" customWidth="1"/>
    <col min="11266" max="11266" width="12.6640625" style="181" customWidth="1"/>
    <col min="11267" max="11267" width="11.6640625" style="181" customWidth="1"/>
    <col min="11268" max="11268" width="44.88671875" style="181" customWidth="1"/>
    <col min="11269" max="11269" width="54.6640625" style="181" customWidth="1"/>
    <col min="11270" max="11270" width="15.33203125" style="181" customWidth="1"/>
    <col min="11271" max="11272" width="19.33203125" style="181" customWidth="1"/>
    <col min="11273" max="11273" width="13.88671875" style="181" customWidth="1"/>
    <col min="11274" max="11274" width="25.33203125" style="181" customWidth="1"/>
    <col min="11275" max="11275" width="16.33203125" style="181" customWidth="1"/>
    <col min="11276" max="11520" width="9.33203125" style="181"/>
    <col min="11521" max="11521" width="15" style="181" customWidth="1"/>
    <col min="11522" max="11522" width="12.6640625" style="181" customWidth="1"/>
    <col min="11523" max="11523" width="11.6640625" style="181" customWidth="1"/>
    <col min="11524" max="11524" width="44.88671875" style="181" customWidth="1"/>
    <col min="11525" max="11525" width="54.6640625" style="181" customWidth="1"/>
    <col min="11526" max="11526" width="15.33203125" style="181" customWidth="1"/>
    <col min="11527" max="11528" width="19.33203125" style="181" customWidth="1"/>
    <col min="11529" max="11529" width="13.88671875" style="181" customWidth="1"/>
    <col min="11530" max="11530" width="25.33203125" style="181" customWidth="1"/>
    <col min="11531" max="11531" width="16.33203125" style="181" customWidth="1"/>
    <col min="11532" max="11776" width="9.33203125" style="181"/>
    <col min="11777" max="11777" width="15" style="181" customWidth="1"/>
    <col min="11778" max="11778" width="12.6640625" style="181" customWidth="1"/>
    <col min="11779" max="11779" width="11.6640625" style="181" customWidth="1"/>
    <col min="11780" max="11780" width="44.88671875" style="181" customWidth="1"/>
    <col min="11781" max="11781" width="54.6640625" style="181" customWidth="1"/>
    <col min="11782" max="11782" width="15.33203125" style="181" customWidth="1"/>
    <col min="11783" max="11784" width="19.33203125" style="181" customWidth="1"/>
    <col min="11785" max="11785" width="13.88671875" style="181" customWidth="1"/>
    <col min="11786" max="11786" width="25.33203125" style="181" customWidth="1"/>
    <col min="11787" max="11787" width="16.33203125" style="181" customWidth="1"/>
    <col min="11788" max="12032" width="9.33203125" style="181"/>
    <col min="12033" max="12033" width="15" style="181" customWidth="1"/>
    <col min="12034" max="12034" width="12.6640625" style="181" customWidth="1"/>
    <col min="12035" max="12035" width="11.6640625" style="181" customWidth="1"/>
    <col min="12036" max="12036" width="44.88671875" style="181" customWidth="1"/>
    <col min="12037" max="12037" width="54.6640625" style="181" customWidth="1"/>
    <col min="12038" max="12038" width="15.33203125" style="181" customWidth="1"/>
    <col min="12039" max="12040" width="19.33203125" style="181" customWidth="1"/>
    <col min="12041" max="12041" width="13.88671875" style="181" customWidth="1"/>
    <col min="12042" max="12042" width="25.33203125" style="181" customWidth="1"/>
    <col min="12043" max="12043" width="16.33203125" style="181" customWidth="1"/>
    <col min="12044" max="12288" width="9.33203125" style="181"/>
    <col min="12289" max="12289" width="15" style="181" customWidth="1"/>
    <col min="12290" max="12290" width="12.6640625" style="181" customWidth="1"/>
    <col min="12291" max="12291" width="11.6640625" style="181" customWidth="1"/>
    <col min="12292" max="12292" width="44.88671875" style="181" customWidth="1"/>
    <col min="12293" max="12293" width="54.6640625" style="181" customWidth="1"/>
    <col min="12294" max="12294" width="15.33203125" style="181" customWidth="1"/>
    <col min="12295" max="12296" width="19.33203125" style="181" customWidth="1"/>
    <col min="12297" max="12297" width="13.88671875" style="181" customWidth="1"/>
    <col min="12298" max="12298" width="25.33203125" style="181" customWidth="1"/>
    <col min="12299" max="12299" width="16.33203125" style="181" customWidth="1"/>
    <col min="12300" max="12544" width="9.33203125" style="181"/>
    <col min="12545" max="12545" width="15" style="181" customWidth="1"/>
    <col min="12546" max="12546" width="12.6640625" style="181" customWidth="1"/>
    <col min="12547" max="12547" width="11.6640625" style="181" customWidth="1"/>
    <col min="12548" max="12548" width="44.88671875" style="181" customWidth="1"/>
    <col min="12549" max="12549" width="54.6640625" style="181" customWidth="1"/>
    <col min="12550" max="12550" width="15.33203125" style="181" customWidth="1"/>
    <col min="12551" max="12552" width="19.33203125" style="181" customWidth="1"/>
    <col min="12553" max="12553" width="13.88671875" style="181" customWidth="1"/>
    <col min="12554" max="12554" width="25.33203125" style="181" customWidth="1"/>
    <col min="12555" max="12555" width="16.33203125" style="181" customWidth="1"/>
    <col min="12556" max="12800" width="9.33203125" style="181"/>
    <col min="12801" max="12801" width="15" style="181" customWidth="1"/>
    <col min="12802" max="12802" width="12.6640625" style="181" customWidth="1"/>
    <col min="12803" max="12803" width="11.6640625" style="181" customWidth="1"/>
    <col min="12804" max="12804" width="44.88671875" style="181" customWidth="1"/>
    <col min="12805" max="12805" width="54.6640625" style="181" customWidth="1"/>
    <col min="12806" max="12806" width="15.33203125" style="181" customWidth="1"/>
    <col min="12807" max="12808" width="19.33203125" style="181" customWidth="1"/>
    <col min="12809" max="12809" width="13.88671875" style="181" customWidth="1"/>
    <col min="12810" max="12810" width="25.33203125" style="181" customWidth="1"/>
    <col min="12811" max="12811" width="16.33203125" style="181" customWidth="1"/>
    <col min="12812" max="13056" width="9.33203125" style="181"/>
    <col min="13057" max="13057" width="15" style="181" customWidth="1"/>
    <col min="13058" max="13058" width="12.6640625" style="181" customWidth="1"/>
    <col min="13059" max="13059" width="11.6640625" style="181" customWidth="1"/>
    <col min="13060" max="13060" width="44.88671875" style="181" customWidth="1"/>
    <col min="13061" max="13061" width="54.6640625" style="181" customWidth="1"/>
    <col min="13062" max="13062" width="15.33203125" style="181" customWidth="1"/>
    <col min="13063" max="13064" width="19.33203125" style="181" customWidth="1"/>
    <col min="13065" max="13065" width="13.88671875" style="181" customWidth="1"/>
    <col min="13066" max="13066" width="25.33203125" style="181" customWidth="1"/>
    <col min="13067" max="13067" width="16.33203125" style="181" customWidth="1"/>
    <col min="13068" max="13312" width="9.33203125" style="181"/>
    <col min="13313" max="13313" width="15" style="181" customWidth="1"/>
    <col min="13314" max="13314" width="12.6640625" style="181" customWidth="1"/>
    <col min="13315" max="13315" width="11.6640625" style="181" customWidth="1"/>
    <col min="13316" max="13316" width="44.88671875" style="181" customWidth="1"/>
    <col min="13317" max="13317" width="54.6640625" style="181" customWidth="1"/>
    <col min="13318" max="13318" width="15.33203125" style="181" customWidth="1"/>
    <col min="13319" max="13320" width="19.33203125" style="181" customWidth="1"/>
    <col min="13321" max="13321" width="13.88671875" style="181" customWidth="1"/>
    <col min="13322" max="13322" width="25.33203125" style="181" customWidth="1"/>
    <col min="13323" max="13323" width="16.33203125" style="181" customWidth="1"/>
    <col min="13324" max="13568" width="9.33203125" style="181"/>
    <col min="13569" max="13569" width="15" style="181" customWidth="1"/>
    <col min="13570" max="13570" width="12.6640625" style="181" customWidth="1"/>
    <col min="13571" max="13571" width="11.6640625" style="181" customWidth="1"/>
    <col min="13572" max="13572" width="44.88671875" style="181" customWidth="1"/>
    <col min="13573" max="13573" width="54.6640625" style="181" customWidth="1"/>
    <col min="13574" max="13574" width="15.33203125" style="181" customWidth="1"/>
    <col min="13575" max="13576" width="19.33203125" style="181" customWidth="1"/>
    <col min="13577" max="13577" width="13.88671875" style="181" customWidth="1"/>
    <col min="13578" max="13578" width="25.33203125" style="181" customWidth="1"/>
    <col min="13579" max="13579" width="16.33203125" style="181" customWidth="1"/>
    <col min="13580" max="13824" width="9.33203125" style="181"/>
    <col min="13825" max="13825" width="15" style="181" customWidth="1"/>
    <col min="13826" max="13826" width="12.6640625" style="181" customWidth="1"/>
    <col min="13827" max="13827" width="11.6640625" style="181" customWidth="1"/>
    <col min="13828" max="13828" width="44.88671875" style="181" customWidth="1"/>
    <col min="13829" max="13829" width="54.6640625" style="181" customWidth="1"/>
    <col min="13830" max="13830" width="15.33203125" style="181" customWidth="1"/>
    <col min="13831" max="13832" width="19.33203125" style="181" customWidth="1"/>
    <col min="13833" max="13833" width="13.88671875" style="181" customWidth="1"/>
    <col min="13834" max="13834" width="25.33203125" style="181" customWidth="1"/>
    <col min="13835" max="13835" width="16.33203125" style="181" customWidth="1"/>
    <col min="13836" max="14080" width="9.33203125" style="181"/>
    <col min="14081" max="14081" width="15" style="181" customWidth="1"/>
    <col min="14082" max="14082" width="12.6640625" style="181" customWidth="1"/>
    <col min="14083" max="14083" width="11.6640625" style="181" customWidth="1"/>
    <col min="14084" max="14084" width="44.88671875" style="181" customWidth="1"/>
    <col min="14085" max="14085" width="54.6640625" style="181" customWidth="1"/>
    <col min="14086" max="14086" width="15.33203125" style="181" customWidth="1"/>
    <col min="14087" max="14088" width="19.33203125" style="181" customWidth="1"/>
    <col min="14089" max="14089" width="13.88671875" style="181" customWidth="1"/>
    <col min="14090" max="14090" width="25.33203125" style="181" customWidth="1"/>
    <col min="14091" max="14091" width="16.33203125" style="181" customWidth="1"/>
    <col min="14092" max="14336" width="9.33203125" style="181"/>
    <col min="14337" max="14337" width="15" style="181" customWidth="1"/>
    <col min="14338" max="14338" width="12.6640625" style="181" customWidth="1"/>
    <col min="14339" max="14339" width="11.6640625" style="181" customWidth="1"/>
    <col min="14340" max="14340" width="44.88671875" style="181" customWidth="1"/>
    <col min="14341" max="14341" width="54.6640625" style="181" customWidth="1"/>
    <col min="14342" max="14342" width="15.33203125" style="181" customWidth="1"/>
    <col min="14343" max="14344" width="19.33203125" style="181" customWidth="1"/>
    <col min="14345" max="14345" width="13.88671875" style="181" customWidth="1"/>
    <col min="14346" max="14346" width="25.33203125" style="181" customWidth="1"/>
    <col min="14347" max="14347" width="16.33203125" style="181" customWidth="1"/>
    <col min="14348" max="14592" width="9.33203125" style="181"/>
    <col min="14593" max="14593" width="15" style="181" customWidth="1"/>
    <col min="14594" max="14594" width="12.6640625" style="181" customWidth="1"/>
    <col min="14595" max="14595" width="11.6640625" style="181" customWidth="1"/>
    <col min="14596" max="14596" width="44.88671875" style="181" customWidth="1"/>
    <col min="14597" max="14597" width="54.6640625" style="181" customWidth="1"/>
    <col min="14598" max="14598" width="15.33203125" style="181" customWidth="1"/>
    <col min="14599" max="14600" width="19.33203125" style="181" customWidth="1"/>
    <col min="14601" max="14601" width="13.88671875" style="181" customWidth="1"/>
    <col min="14602" max="14602" width="25.33203125" style="181" customWidth="1"/>
    <col min="14603" max="14603" width="16.33203125" style="181" customWidth="1"/>
    <col min="14604" max="14848" width="9.33203125" style="181"/>
    <col min="14849" max="14849" width="15" style="181" customWidth="1"/>
    <col min="14850" max="14850" width="12.6640625" style="181" customWidth="1"/>
    <col min="14851" max="14851" width="11.6640625" style="181" customWidth="1"/>
    <col min="14852" max="14852" width="44.88671875" style="181" customWidth="1"/>
    <col min="14853" max="14853" width="54.6640625" style="181" customWidth="1"/>
    <col min="14854" max="14854" width="15.33203125" style="181" customWidth="1"/>
    <col min="14855" max="14856" width="19.33203125" style="181" customWidth="1"/>
    <col min="14857" max="14857" width="13.88671875" style="181" customWidth="1"/>
    <col min="14858" max="14858" width="25.33203125" style="181" customWidth="1"/>
    <col min="14859" max="14859" width="16.33203125" style="181" customWidth="1"/>
    <col min="14860" max="15104" width="9.33203125" style="181"/>
    <col min="15105" max="15105" width="15" style="181" customWidth="1"/>
    <col min="15106" max="15106" width="12.6640625" style="181" customWidth="1"/>
    <col min="15107" max="15107" width="11.6640625" style="181" customWidth="1"/>
    <col min="15108" max="15108" width="44.88671875" style="181" customWidth="1"/>
    <col min="15109" max="15109" width="54.6640625" style="181" customWidth="1"/>
    <col min="15110" max="15110" width="15.33203125" style="181" customWidth="1"/>
    <col min="15111" max="15112" width="19.33203125" style="181" customWidth="1"/>
    <col min="15113" max="15113" width="13.88671875" style="181" customWidth="1"/>
    <col min="15114" max="15114" width="25.33203125" style="181" customWidth="1"/>
    <col min="15115" max="15115" width="16.33203125" style="181" customWidth="1"/>
    <col min="15116" max="15360" width="9.33203125" style="181"/>
    <col min="15361" max="15361" width="15" style="181" customWidth="1"/>
    <col min="15362" max="15362" width="12.6640625" style="181" customWidth="1"/>
    <col min="15363" max="15363" width="11.6640625" style="181" customWidth="1"/>
    <col min="15364" max="15364" width="44.88671875" style="181" customWidth="1"/>
    <col min="15365" max="15365" width="54.6640625" style="181" customWidth="1"/>
    <col min="15366" max="15366" width="15.33203125" style="181" customWidth="1"/>
    <col min="15367" max="15368" width="19.33203125" style="181" customWidth="1"/>
    <col min="15369" max="15369" width="13.88671875" style="181" customWidth="1"/>
    <col min="15370" max="15370" width="25.33203125" style="181" customWidth="1"/>
    <col min="15371" max="15371" width="16.33203125" style="181" customWidth="1"/>
    <col min="15372" max="15616" width="9.33203125" style="181"/>
    <col min="15617" max="15617" width="15" style="181" customWidth="1"/>
    <col min="15618" max="15618" width="12.6640625" style="181" customWidth="1"/>
    <col min="15619" max="15619" width="11.6640625" style="181" customWidth="1"/>
    <col min="15620" max="15620" width="44.88671875" style="181" customWidth="1"/>
    <col min="15621" max="15621" width="54.6640625" style="181" customWidth="1"/>
    <col min="15622" max="15622" width="15.33203125" style="181" customWidth="1"/>
    <col min="15623" max="15624" width="19.33203125" style="181" customWidth="1"/>
    <col min="15625" max="15625" width="13.88671875" style="181" customWidth="1"/>
    <col min="15626" max="15626" width="25.33203125" style="181" customWidth="1"/>
    <col min="15627" max="15627" width="16.33203125" style="181" customWidth="1"/>
    <col min="15628" max="15872" width="9.33203125" style="181"/>
    <col min="15873" max="15873" width="15" style="181" customWidth="1"/>
    <col min="15874" max="15874" width="12.6640625" style="181" customWidth="1"/>
    <col min="15875" max="15875" width="11.6640625" style="181" customWidth="1"/>
    <col min="15876" max="15876" width="44.88671875" style="181" customWidth="1"/>
    <col min="15877" max="15877" width="54.6640625" style="181" customWidth="1"/>
    <col min="15878" max="15878" width="15.33203125" style="181" customWidth="1"/>
    <col min="15879" max="15880" width="19.33203125" style="181" customWidth="1"/>
    <col min="15881" max="15881" width="13.88671875" style="181" customWidth="1"/>
    <col min="15882" max="15882" width="25.33203125" style="181" customWidth="1"/>
    <col min="15883" max="15883" width="16.33203125" style="181" customWidth="1"/>
    <col min="15884" max="16128" width="9.33203125" style="181"/>
    <col min="16129" max="16129" width="15" style="181" customWidth="1"/>
    <col min="16130" max="16130" width="12.6640625" style="181" customWidth="1"/>
    <col min="16131" max="16131" width="11.6640625" style="181" customWidth="1"/>
    <col min="16132" max="16132" width="44.88671875" style="181" customWidth="1"/>
    <col min="16133" max="16133" width="54.6640625" style="181" customWidth="1"/>
    <col min="16134" max="16134" width="15.33203125" style="181" customWidth="1"/>
    <col min="16135" max="16136" width="19.33203125" style="181" customWidth="1"/>
    <col min="16137" max="16137" width="13.88671875" style="181" customWidth="1"/>
    <col min="16138" max="16138" width="25.33203125" style="181" customWidth="1"/>
    <col min="16139" max="16139" width="16.33203125" style="181" customWidth="1"/>
    <col min="16140" max="16384" width="9.33203125" style="181"/>
  </cols>
  <sheetData>
    <row r="2" spans="1:11" ht="15.6" x14ac:dyDescent="0.25">
      <c r="I2" s="177" t="s">
        <v>558</v>
      </c>
      <c r="J2" s="4"/>
    </row>
    <row r="3" spans="1:11" ht="15.6" x14ac:dyDescent="0.25">
      <c r="I3" s="177" t="s">
        <v>631</v>
      </c>
      <c r="J3" s="4"/>
    </row>
    <row r="4" spans="1:11" ht="15.6" x14ac:dyDescent="0.3">
      <c r="I4" s="178" t="s">
        <v>657</v>
      </c>
      <c r="J4" s="7"/>
    </row>
    <row r="5" spans="1:11" ht="15.6" x14ac:dyDescent="0.3">
      <c r="I5" s="179" t="s">
        <v>658</v>
      </c>
      <c r="J5" s="180"/>
    </row>
    <row r="6" spans="1:11" ht="15.6" x14ac:dyDescent="0.25">
      <c r="I6" s="724" t="s">
        <v>559</v>
      </c>
      <c r="J6" s="724"/>
    </row>
    <row r="8" spans="1:11" ht="15.6" x14ac:dyDescent="0.25">
      <c r="G8" s="185"/>
      <c r="H8" s="185"/>
      <c r="I8" s="330" t="s">
        <v>557</v>
      </c>
      <c r="J8" s="330"/>
      <c r="K8" s="181"/>
    </row>
    <row r="9" spans="1:11" ht="15.6" customHeight="1" x14ac:dyDescent="0.25">
      <c r="G9" s="185"/>
      <c r="H9" s="185"/>
      <c r="I9" s="330" t="s">
        <v>294</v>
      </c>
      <c r="J9" s="330"/>
      <c r="K9" s="181"/>
    </row>
    <row r="10" spans="1:11" ht="15.6" x14ac:dyDescent="0.3">
      <c r="G10" s="185"/>
      <c r="H10" s="185"/>
      <c r="I10" s="186" t="s">
        <v>295</v>
      </c>
      <c r="J10" s="187"/>
      <c r="K10" s="181"/>
    </row>
    <row r="11" spans="1:11" ht="15.6" x14ac:dyDescent="0.3">
      <c r="G11" s="185"/>
      <c r="H11" s="185"/>
      <c r="I11" s="186" t="s">
        <v>296</v>
      </c>
      <c r="J11" s="187"/>
      <c r="K11" s="181"/>
    </row>
    <row r="12" spans="1:11" ht="14.1" customHeight="1" x14ac:dyDescent="0.3">
      <c r="G12" s="185"/>
      <c r="H12" s="185"/>
      <c r="I12" s="6" t="s">
        <v>329</v>
      </c>
      <c r="J12" s="340"/>
      <c r="K12" s="181"/>
    </row>
    <row r="13" spans="1:11" ht="20.25" customHeight="1" x14ac:dyDescent="0.3">
      <c r="G13" s="185"/>
      <c r="H13" s="185"/>
      <c r="I13" s="189" t="s">
        <v>286</v>
      </c>
      <c r="J13" s="341"/>
      <c r="K13" s="181"/>
    </row>
    <row r="14" spans="1:11" ht="15.6" x14ac:dyDescent="0.25">
      <c r="G14" s="185"/>
      <c r="H14" s="185"/>
      <c r="I14" s="331" t="s">
        <v>293</v>
      </c>
      <c r="K14" s="181"/>
    </row>
    <row r="15" spans="1:11" s="186" customFormat="1" ht="15.6" x14ac:dyDescent="0.3">
      <c r="A15" s="181"/>
      <c r="B15" s="182"/>
      <c r="C15" s="183"/>
      <c r="D15" s="184"/>
      <c r="E15" s="185"/>
      <c r="F15" s="183"/>
      <c r="G15" s="185"/>
      <c r="H15" s="185"/>
      <c r="I15" s="185"/>
      <c r="K15" s="190"/>
    </row>
    <row r="16" spans="1:11" ht="27" customHeight="1" x14ac:dyDescent="0.25">
      <c r="A16" s="850" t="s">
        <v>513</v>
      </c>
      <c r="B16" s="850"/>
      <c r="C16" s="850"/>
      <c r="D16" s="850"/>
      <c r="E16" s="850"/>
      <c r="F16" s="850"/>
      <c r="G16" s="850"/>
      <c r="H16" s="850"/>
      <c r="I16" s="850"/>
      <c r="J16" s="850"/>
      <c r="K16" s="850"/>
    </row>
    <row r="17" spans="1:11" ht="28.35" customHeight="1" x14ac:dyDescent="0.25">
      <c r="A17" s="851">
        <v>1559100000</v>
      </c>
      <c r="B17" s="851"/>
      <c r="C17" s="851"/>
      <c r="D17" s="852"/>
      <c r="E17" s="852"/>
      <c r="F17" s="852"/>
      <c r="G17" s="852"/>
      <c r="H17" s="852"/>
      <c r="I17" s="852"/>
      <c r="J17" s="852"/>
      <c r="K17" s="852"/>
    </row>
    <row r="18" spans="1:11" ht="22.2" customHeight="1" thickBot="1" x14ac:dyDescent="0.3">
      <c r="A18" s="853" t="s">
        <v>0</v>
      </c>
      <c r="B18" s="853"/>
      <c r="C18" s="853"/>
      <c r="D18" s="191"/>
      <c r="E18" s="191"/>
      <c r="F18" s="192"/>
      <c r="G18" s="191"/>
      <c r="H18" s="191"/>
      <c r="I18" s="191"/>
      <c r="J18" s="191"/>
      <c r="K18" s="193" t="s">
        <v>297</v>
      </c>
    </row>
    <row r="19" spans="1:11" s="186" customFormat="1" ht="77.25" customHeight="1" x14ac:dyDescent="0.3">
      <c r="A19" s="854" t="s">
        <v>10</v>
      </c>
      <c r="B19" s="856" t="s">
        <v>11</v>
      </c>
      <c r="C19" s="858" t="s">
        <v>298</v>
      </c>
      <c r="D19" s="856" t="s">
        <v>299</v>
      </c>
      <c r="E19" s="858" t="s">
        <v>300</v>
      </c>
      <c r="F19" s="856" t="s">
        <v>301</v>
      </c>
      <c r="G19" s="858" t="s">
        <v>302</v>
      </c>
      <c r="H19" s="860" t="s">
        <v>303</v>
      </c>
      <c r="I19" s="856" t="s">
        <v>304</v>
      </c>
      <c r="J19" s="860" t="s">
        <v>305</v>
      </c>
      <c r="K19" s="848" t="s">
        <v>306</v>
      </c>
    </row>
    <row r="20" spans="1:11" s="186" customFormat="1" ht="157.94999999999999" customHeight="1" thickBot="1" x14ac:dyDescent="0.35">
      <c r="A20" s="855"/>
      <c r="B20" s="857"/>
      <c r="C20" s="859"/>
      <c r="D20" s="857"/>
      <c r="E20" s="859"/>
      <c r="F20" s="857"/>
      <c r="G20" s="859"/>
      <c r="H20" s="861"/>
      <c r="I20" s="857"/>
      <c r="J20" s="861"/>
      <c r="K20" s="849"/>
    </row>
    <row r="21" spans="1:11" s="199" customFormat="1" ht="24" customHeight="1" thickBot="1" x14ac:dyDescent="0.35">
      <c r="A21" s="194" t="s">
        <v>307</v>
      </c>
      <c r="B21" s="195" t="s">
        <v>308</v>
      </c>
      <c r="C21" s="196" t="s">
        <v>309</v>
      </c>
      <c r="D21" s="195" t="s">
        <v>560</v>
      </c>
      <c r="E21" s="195" t="s">
        <v>310</v>
      </c>
      <c r="F21" s="195" t="s">
        <v>311</v>
      </c>
      <c r="G21" s="195" t="s">
        <v>312</v>
      </c>
      <c r="H21" s="196" t="s">
        <v>313</v>
      </c>
      <c r="I21" s="196" t="s">
        <v>314</v>
      </c>
      <c r="J21" s="197">
        <v>10</v>
      </c>
      <c r="K21" s="198">
        <v>11</v>
      </c>
    </row>
    <row r="22" spans="1:11" s="199" customFormat="1" ht="35.4" thickBot="1" x14ac:dyDescent="0.35">
      <c r="A22" s="200" t="s">
        <v>15</v>
      </c>
      <c r="B22" s="201"/>
      <c r="C22" s="202"/>
      <c r="D22" s="580" t="s">
        <v>315</v>
      </c>
      <c r="E22" s="203"/>
      <c r="F22" s="204"/>
      <c r="G22" s="205"/>
      <c r="H22" s="206"/>
      <c r="I22" s="206"/>
      <c r="J22" s="207">
        <f>J23</f>
        <v>18761064</v>
      </c>
      <c r="K22" s="208"/>
    </row>
    <row r="23" spans="1:11" s="199" customFormat="1" ht="60" customHeight="1" x14ac:dyDescent="0.3">
      <c r="A23" s="209" t="s">
        <v>18</v>
      </c>
      <c r="B23" s="210"/>
      <c r="C23" s="210"/>
      <c r="D23" s="581" t="s">
        <v>315</v>
      </c>
      <c r="E23" s="211"/>
      <c r="F23" s="212"/>
      <c r="G23" s="213"/>
      <c r="H23" s="214"/>
      <c r="I23" s="214"/>
      <c r="J23" s="215">
        <f>SUM(J24:J29)</f>
        <v>18761064</v>
      </c>
      <c r="K23" s="216"/>
    </row>
    <row r="24" spans="1:11" s="199" customFormat="1" ht="115.5" customHeight="1" x14ac:dyDescent="0.3">
      <c r="A24" s="217" t="s">
        <v>173</v>
      </c>
      <c r="B24" s="218" t="s">
        <v>174</v>
      </c>
      <c r="C24" s="218" t="s">
        <v>19</v>
      </c>
      <c r="D24" s="582" t="s">
        <v>175</v>
      </c>
      <c r="E24" s="220" t="s">
        <v>316</v>
      </c>
      <c r="F24" s="221"/>
      <c r="G24" s="222"/>
      <c r="H24" s="222"/>
      <c r="I24" s="222"/>
      <c r="J24" s="223">
        <v>338000</v>
      </c>
      <c r="K24" s="224"/>
    </row>
    <row r="25" spans="1:11" s="199" customFormat="1" ht="78" customHeight="1" x14ac:dyDescent="0.3">
      <c r="A25" s="225" t="s">
        <v>24</v>
      </c>
      <c r="B25" s="226" t="s">
        <v>25</v>
      </c>
      <c r="C25" s="226" t="s">
        <v>26</v>
      </c>
      <c r="D25" s="583" t="s">
        <v>27</v>
      </c>
      <c r="E25" s="220" t="s">
        <v>316</v>
      </c>
      <c r="F25" s="221"/>
      <c r="G25" s="222"/>
      <c r="H25" s="222"/>
      <c r="I25" s="222"/>
      <c r="J25" s="223">
        <v>372400</v>
      </c>
      <c r="K25" s="224"/>
    </row>
    <row r="26" spans="1:11" s="199" customFormat="1" ht="52.95" customHeight="1" x14ac:dyDescent="0.3">
      <c r="A26" s="664" t="s">
        <v>31</v>
      </c>
      <c r="B26" s="541" t="s">
        <v>32</v>
      </c>
      <c r="C26" s="541" t="s">
        <v>33</v>
      </c>
      <c r="D26" s="583" t="s">
        <v>514</v>
      </c>
      <c r="E26" s="220" t="s">
        <v>316</v>
      </c>
      <c r="F26" s="221"/>
      <c r="G26" s="222"/>
      <c r="H26" s="222"/>
      <c r="I26" s="222"/>
      <c r="J26" s="223">
        <v>53364</v>
      </c>
      <c r="K26" s="224"/>
    </row>
    <row r="27" spans="1:11" s="199" customFormat="1" ht="63" x14ac:dyDescent="0.3">
      <c r="A27" s="664" t="s">
        <v>265</v>
      </c>
      <c r="B27" s="541">
        <v>7650</v>
      </c>
      <c r="C27" s="541" t="s">
        <v>178</v>
      </c>
      <c r="D27" s="583" t="s">
        <v>266</v>
      </c>
      <c r="E27" s="220" t="s">
        <v>317</v>
      </c>
      <c r="F27" s="221"/>
      <c r="G27" s="222"/>
      <c r="H27" s="222"/>
      <c r="I27" s="222"/>
      <c r="J27" s="223">
        <v>57000</v>
      </c>
      <c r="K27" s="224"/>
    </row>
    <row r="28" spans="1:11" s="199" customFormat="1" ht="90" x14ac:dyDescent="0.3">
      <c r="A28" s="664" t="s">
        <v>267</v>
      </c>
      <c r="B28" s="541" t="s">
        <v>268</v>
      </c>
      <c r="C28" s="541" t="s">
        <v>178</v>
      </c>
      <c r="D28" s="583" t="s">
        <v>269</v>
      </c>
      <c r="E28" s="220" t="s">
        <v>317</v>
      </c>
      <c r="F28" s="221"/>
      <c r="G28" s="222"/>
      <c r="H28" s="222"/>
      <c r="I28" s="222"/>
      <c r="J28" s="223">
        <v>16900</v>
      </c>
      <c r="K28" s="224"/>
    </row>
    <row r="29" spans="1:11" s="199" customFormat="1" ht="54.6" thickBot="1" x14ac:dyDescent="0.35">
      <c r="A29" s="664" t="s">
        <v>490</v>
      </c>
      <c r="B29" s="227" t="s">
        <v>565</v>
      </c>
      <c r="C29" s="227" t="s">
        <v>226</v>
      </c>
      <c r="D29" s="583" t="s">
        <v>491</v>
      </c>
      <c r="E29" s="228" t="s">
        <v>567</v>
      </c>
      <c r="F29" s="229"/>
      <c r="G29" s="230"/>
      <c r="H29" s="230"/>
      <c r="I29" s="230"/>
      <c r="J29" s="231">
        <f>0+1000000+150000+2937000+26000+310400+1500000+4000000+3000000+5000000</f>
        <v>17923400</v>
      </c>
      <c r="K29" s="232"/>
    </row>
    <row r="30" spans="1:11" s="199" customFormat="1" ht="66" customHeight="1" thickBot="1" x14ac:dyDescent="0.35">
      <c r="A30" s="233" t="s">
        <v>70</v>
      </c>
      <c r="B30" s="234" t="s">
        <v>16</v>
      </c>
      <c r="C30" s="234" t="s">
        <v>16</v>
      </c>
      <c r="D30" s="584" t="s">
        <v>71</v>
      </c>
      <c r="E30" s="235"/>
      <c r="F30" s="236"/>
      <c r="G30" s="237"/>
      <c r="H30" s="237"/>
      <c r="I30" s="237"/>
      <c r="J30" s="238">
        <f>J31</f>
        <v>126500</v>
      </c>
      <c r="K30" s="239"/>
    </row>
    <row r="31" spans="1:11" s="199" customFormat="1" ht="54" x14ac:dyDescent="0.3">
      <c r="A31" s="240" t="s">
        <v>72</v>
      </c>
      <c r="B31" s="241" t="s">
        <v>16</v>
      </c>
      <c r="C31" s="241" t="s">
        <v>16</v>
      </c>
      <c r="D31" s="585" t="s">
        <v>71</v>
      </c>
      <c r="E31" s="242"/>
      <c r="F31" s="243"/>
      <c r="G31" s="244"/>
      <c r="H31" s="244"/>
      <c r="I31" s="244"/>
      <c r="J31" s="245">
        <f>J32+J33</f>
        <v>126500</v>
      </c>
      <c r="K31" s="246"/>
    </row>
    <row r="32" spans="1:11" s="199" customFormat="1" ht="71.25" customHeight="1" x14ac:dyDescent="0.3">
      <c r="A32" s="225" t="s">
        <v>188</v>
      </c>
      <c r="B32" s="226" t="s">
        <v>46</v>
      </c>
      <c r="C32" s="226" t="s">
        <v>19</v>
      </c>
      <c r="D32" s="583" t="s">
        <v>182</v>
      </c>
      <c r="E32" s="220" t="s">
        <v>316</v>
      </c>
      <c r="F32" s="221"/>
      <c r="G32" s="222"/>
      <c r="H32" s="222"/>
      <c r="I32" s="222"/>
      <c r="J32" s="223">
        <v>46000</v>
      </c>
      <c r="K32" s="224"/>
    </row>
    <row r="33" spans="1:11" s="199" customFormat="1" ht="56.25" customHeight="1" thickBot="1" x14ac:dyDescent="0.35">
      <c r="A33" s="247" t="s">
        <v>189</v>
      </c>
      <c r="B33" s="248" t="s">
        <v>190</v>
      </c>
      <c r="C33" s="248" t="s">
        <v>48</v>
      </c>
      <c r="D33" s="586" t="s">
        <v>191</v>
      </c>
      <c r="E33" s="249" t="s">
        <v>316</v>
      </c>
      <c r="F33" s="229"/>
      <c r="G33" s="230"/>
      <c r="H33" s="230"/>
      <c r="I33" s="230"/>
      <c r="J33" s="231">
        <v>80500</v>
      </c>
      <c r="K33" s="232"/>
    </row>
    <row r="34" spans="1:11" s="199" customFormat="1" ht="82.5" customHeight="1" thickBot="1" x14ac:dyDescent="0.35">
      <c r="A34" s="233" t="s">
        <v>90</v>
      </c>
      <c r="B34" s="234" t="s">
        <v>16</v>
      </c>
      <c r="C34" s="234" t="s">
        <v>16</v>
      </c>
      <c r="D34" s="584" t="s">
        <v>91</v>
      </c>
      <c r="E34" s="235"/>
      <c r="F34" s="236"/>
      <c r="G34" s="237"/>
      <c r="H34" s="237"/>
      <c r="I34" s="237"/>
      <c r="J34" s="238">
        <f>J35</f>
        <v>150299</v>
      </c>
      <c r="K34" s="239"/>
    </row>
    <row r="35" spans="1:11" s="199" customFormat="1" ht="54" x14ac:dyDescent="0.3">
      <c r="A35" s="240" t="s">
        <v>92</v>
      </c>
      <c r="B35" s="241" t="s">
        <v>16</v>
      </c>
      <c r="C35" s="241" t="s">
        <v>16</v>
      </c>
      <c r="D35" s="585" t="s">
        <v>91</v>
      </c>
      <c r="E35" s="250"/>
      <c r="F35" s="251"/>
      <c r="G35" s="252"/>
      <c r="H35" s="252"/>
      <c r="I35" s="252"/>
      <c r="J35" s="245">
        <f>J36+J37+J38+J39</f>
        <v>150299</v>
      </c>
      <c r="K35" s="253"/>
    </row>
    <row r="36" spans="1:11" s="199" customFormat="1" ht="55.2" customHeight="1" x14ac:dyDescent="0.3">
      <c r="A36" s="225" t="s">
        <v>93</v>
      </c>
      <c r="B36" s="226" t="s">
        <v>94</v>
      </c>
      <c r="C36" s="226" t="s">
        <v>57</v>
      </c>
      <c r="D36" s="583" t="s">
        <v>95</v>
      </c>
      <c r="E36" s="220" t="s">
        <v>316</v>
      </c>
      <c r="F36" s="254"/>
      <c r="G36" s="255"/>
      <c r="H36" s="255"/>
      <c r="I36" s="255"/>
      <c r="J36" s="223">
        <v>27000</v>
      </c>
      <c r="K36" s="256"/>
    </row>
    <row r="37" spans="1:11" s="199" customFormat="1" ht="52.95" customHeight="1" x14ac:dyDescent="0.3">
      <c r="A37" s="225" t="s">
        <v>99</v>
      </c>
      <c r="B37" s="226" t="s">
        <v>100</v>
      </c>
      <c r="C37" s="226" t="s">
        <v>101</v>
      </c>
      <c r="D37" s="583" t="s">
        <v>102</v>
      </c>
      <c r="E37" s="220" t="s">
        <v>316</v>
      </c>
      <c r="F37" s="254"/>
      <c r="G37" s="255"/>
      <c r="H37" s="255"/>
      <c r="I37" s="255"/>
      <c r="J37" s="223">
        <v>50000</v>
      </c>
      <c r="K37" s="256"/>
    </row>
    <row r="38" spans="1:11" s="199" customFormat="1" ht="49.95" customHeight="1" x14ac:dyDescent="0.3">
      <c r="A38" s="225" t="s">
        <v>103</v>
      </c>
      <c r="B38" s="226" t="s">
        <v>104</v>
      </c>
      <c r="C38" s="226" t="s">
        <v>101</v>
      </c>
      <c r="D38" s="583" t="s">
        <v>105</v>
      </c>
      <c r="E38" s="220" t="s">
        <v>316</v>
      </c>
      <c r="F38" s="254"/>
      <c r="G38" s="255"/>
      <c r="H38" s="255"/>
      <c r="I38" s="255"/>
      <c r="J38" s="223">
        <v>50299</v>
      </c>
      <c r="K38" s="256"/>
    </row>
    <row r="39" spans="1:11" s="199" customFormat="1" ht="51.6" customHeight="1" thickBot="1" x14ac:dyDescent="0.35">
      <c r="A39" s="247" t="s">
        <v>200</v>
      </c>
      <c r="B39" s="248" t="s">
        <v>201</v>
      </c>
      <c r="C39" s="248" t="s">
        <v>110</v>
      </c>
      <c r="D39" s="586" t="s">
        <v>202</v>
      </c>
      <c r="E39" s="220" t="s">
        <v>316</v>
      </c>
      <c r="F39" s="257"/>
      <c r="G39" s="258"/>
      <c r="H39" s="258"/>
      <c r="I39" s="258"/>
      <c r="J39" s="259">
        <v>23000</v>
      </c>
      <c r="K39" s="260"/>
    </row>
    <row r="40" spans="1:11" s="199" customFormat="1" ht="72.599999999999994" customHeight="1" thickBot="1" x14ac:dyDescent="0.35">
      <c r="A40" s="261" t="s">
        <v>127</v>
      </c>
      <c r="B40" s="201"/>
      <c r="C40" s="201"/>
      <c r="D40" s="587" t="s">
        <v>318</v>
      </c>
      <c r="E40" s="262"/>
      <c r="F40" s="204"/>
      <c r="G40" s="263"/>
      <c r="H40" s="263"/>
      <c r="I40" s="263"/>
      <c r="J40" s="264">
        <f>J41</f>
        <v>23000</v>
      </c>
      <c r="K40" s="208"/>
    </row>
    <row r="41" spans="1:11" s="199" customFormat="1" ht="77.25" customHeight="1" x14ac:dyDescent="0.3">
      <c r="A41" s="265" t="s">
        <v>129</v>
      </c>
      <c r="B41" s="266"/>
      <c r="C41" s="266"/>
      <c r="D41" s="588" t="s">
        <v>318</v>
      </c>
      <c r="E41" s="267"/>
      <c r="F41" s="268"/>
      <c r="G41" s="269"/>
      <c r="H41" s="269"/>
      <c r="I41" s="269"/>
      <c r="J41" s="270">
        <f>SUM(J42:J42)</f>
        <v>23000</v>
      </c>
      <c r="K41" s="271"/>
    </row>
    <row r="42" spans="1:11" s="199" customFormat="1" ht="60.75" customHeight="1" thickBot="1" x14ac:dyDescent="0.35">
      <c r="A42" s="272" t="s">
        <v>130</v>
      </c>
      <c r="B42" s="273" t="s">
        <v>46</v>
      </c>
      <c r="C42" s="273" t="s">
        <v>19</v>
      </c>
      <c r="D42" s="589" t="s">
        <v>319</v>
      </c>
      <c r="E42" s="249" t="s">
        <v>316</v>
      </c>
      <c r="F42" s="274"/>
      <c r="G42" s="275"/>
      <c r="H42" s="275"/>
      <c r="I42" s="275"/>
      <c r="J42" s="259">
        <v>23000</v>
      </c>
      <c r="K42" s="276"/>
    </row>
    <row r="43" spans="1:11" s="199" customFormat="1" ht="64.5" customHeight="1" thickBot="1" x14ac:dyDescent="0.35">
      <c r="A43" s="261" t="s">
        <v>147</v>
      </c>
      <c r="B43" s="277"/>
      <c r="C43" s="277"/>
      <c r="D43" s="590" t="s">
        <v>320</v>
      </c>
      <c r="E43" s="278"/>
      <c r="F43" s="277"/>
      <c r="G43" s="279"/>
      <c r="H43" s="279"/>
      <c r="I43" s="279"/>
      <c r="J43" s="238">
        <f>J44</f>
        <v>64473419</v>
      </c>
      <c r="K43" s="280"/>
    </row>
    <row r="44" spans="1:11" s="199" customFormat="1" ht="57.75" customHeight="1" x14ac:dyDescent="0.3">
      <c r="A44" s="265" t="s">
        <v>149</v>
      </c>
      <c r="B44" s="243"/>
      <c r="C44" s="251"/>
      <c r="D44" s="591" t="s">
        <v>320</v>
      </c>
      <c r="E44" s="281"/>
      <c r="F44" s="282"/>
      <c r="G44" s="283"/>
      <c r="H44" s="283"/>
      <c r="I44" s="283"/>
      <c r="J44" s="283">
        <f>J45+J46+J48+J52+J54+J57+J62+J65+J68+J70+J71+J74+J75+J76+J77+J49+J50+J51+J58+J60+J67+J72+J78</f>
        <v>64473419</v>
      </c>
      <c r="K44" s="284"/>
    </row>
    <row r="45" spans="1:11" s="199" customFormat="1" ht="234" customHeight="1" x14ac:dyDescent="0.3">
      <c r="A45" s="673" t="s">
        <v>515</v>
      </c>
      <c r="B45" s="670" t="s">
        <v>52</v>
      </c>
      <c r="C45" s="670" t="s">
        <v>53</v>
      </c>
      <c r="D45" s="674" t="s">
        <v>498</v>
      </c>
      <c r="E45" s="503" t="s">
        <v>516</v>
      </c>
      <c r="F45" s="542" t="s">
        <v>322</v>
      </c>
      <c r="G45" s="504">
        <v>200000</v>
      </c>
      <c r="H45" s="334">
        <v>0</v>
      </c>
      <c r="I45" s="505">
        <v>0</v>
      </c>
      <c r="J45" s="334">
        <v>200000</v>
      </c>
      <c r="K45" s="569">
        <v>1</v>
      </c>
    </row>
    <row r="46" spans="1:11" s="199" customFormat="1" ht="233.4" customHeight="1" x14ac:dyDescent="0.3">
      <c r="A46" s="836" t="s">
        <v>515</v>
      </c>
      <c r="B46" s="805" t="s">
        <v>52</v>
      </c>
      <c r="C46" s="805" t="s">
        <v>53</v>
      </c>
      <c r="D46" s="839" t="s">
        <v>498</v>
      </c>
      <c r="E46" s="507" t="s">
        <v>517</v>
      </c>
      <c r="F46" s="841" t="s">
        <v>518</v>
      </c>
      <c r="G46" s="508">
        <v>23825333</v>
      </c>
      <c r="H46" s="334">
        <f>H47</f>
        <v>274112.37</v>
      </c>
      <c r="I46" s="505">
        <f>H46/G46</f>
        <v>1.150508032773351E-2</v>
      </c>
      <c r="J46" s="509">
        <f>15000000+1205842-5000000+12345379</f>
        <v>23551221</v>
      </c>
      <c r="K46" s="569">
        <v>1</v>
      </c>
    </row>
    <row r="47" spans="1:11" s="199" customFormat="1" ht="32.4" customHeight="1" x14ac:dyDescent="0.3">
      <c r="A47" s="837"/>
      <c r="B47" s="838"/>
      <c r="C47" s="838"/>
      <c r="D47" s="840"/>
      <c r="E47" s="510" t="s">
        <v>323</v>
      </c>
      <c r="F47" s="842"/>
      <c r="G47" s="511">
        <v>1657846</v>
      </c>
      <c r="H47" s="512">
        <v>274112.37</v>
      </c>
      <c r="I47" s="690">
        <f>H47/G47</f>
        <v>0.16534248054403122</v>
      </c>
      <c r="J47" s="513">
        <v>1401734</v>
      </c>
      <c r="K47" s="573">
        <v>1</v>
      </c>
    </row>
    <row r="48" spans="1:11" s="199" customFormat="1" ht="312" customHeight="1" x14ac:dyDescent="0.3">
      <c r="A48" s="673" t="s">
        <v>515</v>
      </c>
      <c r="B48" s="670" t="s">
        <v>52</v>
      </c>
      <c r="C48" s="670" t="s">
        <v>53</v>
      </c>
      <c r="D48" s="544" t="s">
        <v>498</v>
      </c>
      <c r="E48" s="570" t="s">
        <v>519</v>
      </c>
      <c r="F48" s="515" t="s">
        <v>520</v>
      </c>
      <c r="G48" s="509">
        <v>268824.53000000003</v>
      </c>
      <c r="H48" s="334">
        <v>0</v>
      </c>
      <c r="I48" s="505">
        <v>0</v>
      </c>
      <c r="J48" s="509">
        <v>268825</v>
      </c>
      <c r="K48" s="569">
        <v>1</v>
      </c>
    </row>
    <row r="49" spans="1:11" s="199" customFormat="1" ht="204" customHeight="1" x14ac:dyDescent="0.3">
      <c r="A49" s="673" t="s">
        <v>515</v>
      </c>
      <c r="B49" s="670" t="s">
        <v>52</v>
      </c>
      <c r="C49" s="670" t="s">
        <v>640</v>
      </c>
      <c r="D49" s="691" t="s">
        <v>498</v>
      </c>
      <c r="E49" s="692" t="s">
        <v>641</v>
      </c>
      <c r="F49" s="693" t="s">
        <v>642</v>
      </c>
      <c r="G49" s="509">
        <v>15570836</v>
      </c>
      <c r="H49" s="334">
        <v>11185952</v>
      </c>
      <c r="I49" s="505">
        <f>(H49/G49)*100%</f>
        <v>0.71839122831940427</v>
      </c>
      <c r="J49" s="509">
        <v>4384884</v>
      </c>
      <c r="K49" s="569">
        <v>1</v>
      </c>
    </row>
    <row r="50" spans="1:11" s="199" customFormat="1" ht="204" customHeight="1" x14ac:dyDescent="0.3">
      <c r="A50" s="673" t="s">
        <v>515</v>
      </c>
      <c r="B50" s="670" t="s">
        <v>52</v>
      </c>
      <c r="C50" s="670" t="s">
        <v>640</v>
      </c>
      <c r="D50" s="691" t="s">
        <v>498</v>
      </c>
      <c r="E50" s="694" t="s">
        <v>643</v>
      </c>
      <c r="F50" s="695" t="s">
        <v>520</v>
      </c>
      <c r="G50" s="509">
        <v>874564</v>
      </c>
      <c r="H50" s="334">
        <v>0</v>
      </c>
      <c r="I50" s="505">
        <v>0</v>
      </c>
      <c r="J50" s="509">
        <v>874564</v>
      </c>
      <c r="K50" s="569">
        <v>1</v>
      </c>
    </row>
    <row r="51" spans="1:11" s="199" customFormat="1" ht="157.19999999999999" customHeight="1" x14ac:dyDescent="0.3">
      <c r="A51" s="673" t="s">
        <v>644</v>
      </c>
      <c r="B51" s="670" t="s">
        <v>21</v>
      </c>
      <c r="C51" s="670" t="s">
        <v>22</v>
      </c>
      <c r="D51" s="696" t="s">
        <v>23</v>
      </c>
      <c r="E51" s="697" t="s">
        <v>645</v>
      </c>
      <c r="F51" s="695" t="s">
        <v>330</v>
      </c>
      <c r="G51" s="509">
        <v>1463482</v>
      </c>
      <c r="H51" s="334">
        <v>1264348</v>
      </c>
      <c r="I51" s="505">
        <f>(H51/G51)*100%</f>
        <v>0.86393136369289136</v>
      </c>
      <c r="J51" s="509">
        <v>103135</v>
      </c>
      <c r="K51" s="569">
        <v>1</v>
      </c>
    </row>
    <row r="52" spans="1:11" s="199" customFormat="1" ht="118.95" customHeight="1" x14ac:dyDescent="0.3">
      <c r="A52" s="843">
        <v>1514060</v>
      </c>
      <c r="B52" s="844">
        <v>4060</v>
      </c>
      <c r="C52" s="845" t="s">
        <v>108</v>
      </c>
      <c r="D52" s="846" t="s">
        <v>109</v>
      </c>
      <c r="E52" s="346" t="s">
        <v>321</v>
      </c>
      <c r="F52" s="847" t="s">
        <v>322</v>
      </c>
      <c r="G52" s="285">
        <v>6058427</v>
      </c>
      <c r="H52" s="333">
        <v>2726948.29</v>
      </c>
      <c r="I52" s="516">
        <f>H52/G52</f>
        <v>0.45010830203945679</v>
      </c>
      <c r="J52" s="347">
        <f>2295144-694188-1600956+3169264-690455</f>
        <v>2478809</v>
      </c>
      <c r="K52" s="574">
        <v>1</v>
      </c>
    </row>
    <row r="53" spans="1:11" s="287" customFormat="1" ht="28.2" customHeight="1" x14ac:dyDescent="0.35">
      <c r="A53" s="843"/>
      <c r="B53" s="844"/>
      <c r="C53" s="845"/>
      <c r="D53" s="846"/>
      <c r="E53" s="348" t="s">
        <v>323</v>
      </c>
      <c r="F53" s="847"/>
      <c r="G53" s="286">
        <v>181142</v>
      </c>
      <c r="H53" s="335">
        <v>178959.68</v>
      </c>
      <c r="I53" s="517">
        <v>1</v>
      </c>
      <c r="J53" s="347"/>
      <c r="K53" s="575">
        <v>1</v>
      </c>
    </row>
    <row r="54" spans="1:11" s="199" customFormat="1" ht="149.4" customHeight="1" x14ac:dyDescent="0.3">
      <c r="A54" s="822">
        <v>1516012</v>
      </c>
      <c r="B54" s="824">
        <v>6012</v>
      </c>
      <c r="C54" s="805" t="s">
        <v>29</v>
      </c>
      <c r="D54" s="831" t="s">
        <v>253</v>
      </c>
      <c r="E54" s="518" t="s">
        <v>324</v>
      </c>
      <c r="F54" s="824" t="s">
        <v>521</v>
      </c>
      <c r="G54" s="504">
        <v>15864964</v>
      </c>
      <c r="H54" s="334">
        <f>H55+H56</f>
        <v>549821.11</v>
      </c>
      <c r="I54" s="506">
        <f>H54/G54</f>
        <v>3.4656309967044364E-2</v>
      </c>
      <c r="J54" s="289">
        <f>1444539-1444539+752140+1183600</f>
        <v>1935740</v>
      </c>
      <c r="K54" s="571">
        <f>(J54+H54)/G54</f>
        <v>0.15666982351803635</v>
      </c>
    </row>
    <row r="55" spans="1:11" s="199" customFormat="1" ht="21" x14ac:dyDescent="0.3">
      <c r="A55" s="827"/>
      <c r="B55" s="828"/>
      <c r="C55" s="811"/>
      <c r="D55" s="832"/>
      <c r="E55" s="520" t="s">
        <v>522</v>
      </c>
      <c r="F55" s="828"/>
      <c r="G55" s="521">
        <f>280375.62</f>
        <v>280375.62</v>
      </c>
      <c r="H55" s="521">
        <f>280375.62</f>
        <v>280375.62</v>
      </c>
      <c r="I55" s="514">
        <v>1</v>
      </c>
      <c r="J55" s="335"/>
      <c r="K55" s="576">
        <v>1</v>
      </c>
    </row>
    <row r="56" spans="1:11" s="199" customFormat="1" ht="21" x14ac:dyDescent="0.3">
      <c r="A56" s="823"/>
      <c r="B56" s="825"/>
      <c r="C56" s="806"/>
      <c r="D56" s="833"/>
      <c r="E56" s="520" t="s">
        <v>325</v>
      </c>
      <c r="F56" s="825"/>
      <c r="G56" s="572">
        <v>269446</v>
      </c>
      <c r="H56" s="521">
        <v>269445.49</v>
      </c>
      <c r="I56" s="514">
        <v>1</v>
      </c>
      <c r="J56" s="335"/>
      <c r="K56" s="576">
        <v>1</v>
      </c>
    </row>
    <row r="57" spans="1:11" s="199" customFormat="1" ht="123" customHeight="1" x14ac:dyDescent="0.3">
      <c r="A57" s="675">
        <v>1516012</v>
      </c>
      <c r="B57" s="676">
        <v>6012</v>
      </c>
      <c r="C57" s="677" t="s">
        <v>29</v>
      </c>
      <c r="D57" s="678" t="s">
        <v>253</v>
      </c>
      <c r="E57" s="219" t="s">
        <v>523</v>
      </c>
      <c r="F57" s="543" t="s">
        <v>520</v>
      </c>
      <c r="G57" s="288">
        <v>1497526</v>
      </c>
      <c r="H57" s="522">
        <v>0</v>
      </c>
      <c r="I57" s="523">
        <v>0</v>
      </c>
      <c r="J57" s="333">
        <v>1497526</v>
      </c>
      <c r="K57" s="574">
        <v>1</v>
      </c>
    </row>
    <row r="58" spans="1:11" s="199" customFormat="1" ht="123" customHeight="1" x14ac:dyDescent="0.3">
      <c r="A58" s="822">
        <v>1516012</v>
      </c>
      <c r="B58" s="824">
        <v>6012</v>
      </c>
      <c r="C58" s="805" t="s">
        <v>29</v>
      </c>
      <c r="D58" s="814" t="s">
        <v>253</v>
      </c>
      <c r="E58" s="694" t="s">
        <v>646</v>
      </c>
      <c r="F58" s="834" t="s">
        <v>322</v>
      </c>
      <c r="G58" s="288">
        <v>2011948</v>
      </c>
      <c r="H58" s="522">
        <v>218940</v>
      </c>
      <c r="I58" s="523">
        <f>(H58/G58)*100%</f>
        <v>0.10881990985850529</v>
      </c>
      <c r="J58" s="333">
        <v>1748351</v>
      </c>
      <c r="K58" s="574">
        <v>1</v>
      </c>
    </row>
    <row r="59" spans="1:11" s="287" customFormat="1" ht="31.95" customHeight="1" x14ac:dyDescent="0.35">
      <c r="A59" s="823"/>
      <c r="B59" s="825"/>
      <c r="C59" s="806"/>
      <c r="D59" s="815"/>
      <c r="E59" s="698" t="s">
        <v>323</v>
      </c>
      <c r="F59" s="835"/>
      <c r="G59" s="286">
        <v>263597</v>
      </c>
      <c r="H59" s="699">
        <v>218940</v>
      </c>
      <c r="I59" s="332">
        <v>1</v>
      </c>
      <c r="J59" s="291"/>
      <c r="K59" s="575">
        <v>1</v>
      </c>
    </row>
    <row r="60" spans="1:11" s="199" customFormat="1" ht="123" customHeight="1" x14ac:dyDescent="0.3">
      <c r="A60" s="822">
        <v>1516012</v>
      </c>
      <c r="B60" s="824">
        <v>6012</v>
      </c>
      <c r="C60" s="805" t="s">
        <v>29</v>
      </c>
      <c r="D60" s="814" t="s">
        <v>253</v>
      </c>
      <c r="E60" s="697" t="s">
        <v>647</v>
      </c>
      <c r="F60" s="826" t="s">
        <v>520</v>
      </c>
      <c r="G60" s="288">
        <v>2894056</v>
      </c>
      <c r="H60" s="522">
        <v>0</v>
      </c>
      <c r="I60" s="523">
        <v>0</v>
      </c>
      <c r="J60" s="333">
        <v>2894056</v>
      </c>
      <c r="K60" s="574">
        <v>1</v>
      </c>
    </row>
    <row r="61" spans="1:11" s="287" customFormat="1" ht="34.200000000000003" customHeight="1" x14ac:dyDescent="0.35">
      <c r="A61" s="823"/>
      <c r="B61" s="825"/>
      <c r="C61" s="806"/>
      <c r="D61" s="815"/>
      <c r="E61" s="700" t="s">
        <v>648</v>
      </c>
      <c r="F61" s="826"/>
      <c r="G61" s="286">
        <v>49800</v>
      </c>
      <c r="H61" s="699"/>
      <c r="I61" s="332"/>
      <c r="J61" s="291">
        <v>49800</v>
      </c>
      <c r="K61" s="575">
        <v>1</v>
      </c>
    </row>
    <row r="62" spans="1:11" s="199" customFormat="1" ht="96" customHeight="1" x14ac:dyDescent="0.3">
      <c r="A62" s="822">
        <v>1516030</v>
      </c>
      <c r="B62" s="824">
        <v>6030</v>
      </c>
      <c r="C62" s="805" t="s">
        <v>29</v>
      </c>
      <c r="D62" s="814" t="s">
        <v>30</v>
      </c>
      <c r="E62" s="219" t="s">
        <v>524</v>
      </c>
      <c r="F62" s="816" t="s">
        <v>330</v>
      </c>
      <c r="G62" s="288">
        <v>3777567</v>
      </c>
      <c r="H62" s="349">
        <f>1516531+H64</f>
        <v>1640341.91</v>
      </c>
      <c r="I62" s="350">
        <f>H62/G62</f>
        <v>0.43423238025956917</v>
      </c>
      <c r="J62" s="333">
        <f>1011118+1104357</f>
        <v>2115475</v>
      </c>
      <c r="K62" s="571">
        <v>1</v>
      </c>
    </row>
    <row r="63" spans="1:11" s="199" customFormat="1" ht="20.25" customHeight="1" x14ac:dyDescent="0.3">
      <c r="A63" s="827"/>
      <c r="B63" s="828"/>
      <c r="C63" s="811"/>
      <c r="D63" s="829"/>
      <c r="E63" s="348" t="s">
        <v>340</v>
      </c>
      <c r="F63" s="830"/>
      <c r="G63" s="286">
        <v>49800</v>
      </c>
      <c r="H63" s="351">
        <v>49763</v>
      </c>
      <c r="I63" s="524">
        <v>1</v>
      </c>
      <c r="J63" s="333"/>
      <c r="K63" s="256">
        <v>1</v>
      </c>
    </row>
    <row r="64" spans="1:11" s="199" customFormat="1" ht="42" x14ac:dyDescent="0.3">
      <c r="A64" s="823"/>
      <c r="B64" s="825"/>
      <c r="C64" s="806"/>
      <c r="D64" s="815"/>
      <c r="E64" s="348" t="s">
        <v>335</v>
      </c>
      <c r="F64" s="817"/>
      <c r="G64" s="291">
        <v>140204</v>
      </c>
      <c r="H64" s="291">
        <v>123810.91</v>
      </c>
      <c r="I64" s="524">
        <v>1</v>
      </c>
      <c r="J64" s="333"/>
      <c r="K64" s="256">
        <v>1</v>
      </c>
    </row>
    <row r="65" spans="1:11" s="199" customFormat="1" ht="116.25" customHeight="1" x14ac:dyDescent="0.3">
      <c r="A65" s="812">
        <v>1516030</v>
      </c>
      <c r="B65" s="805">
        <v>6030</v>
      </c>
      <c r="C65" s="805" t="s">
        <v>29</v>
      </c>
      <c r="D65" s="814" t="s">
        <v>30</v>
      </c>
      <c r="E65" s="525" t="s">
        <v>562</v>
      </c>
      <c r="F65" s="816" t="s">
        <v>563</v>
      </c>
      <c r="G65" s="333">
        <v>3910004</v>
      </c>
      <c r="H65" s="333">
        <v>0</v>
      </c>
      <c r="I65" s="523">
        <v>0</v>
      </c>
      <c r="J65" s="333">
        <f>4003149-93145</f>
        <v>3910004</v>
      </c>
      <c r="K65" s="224">
        <v>1</v>
      </c>
    </row>
    <row r="66" spans="1:11" s="199" customFormat="1" ht="21" x14ac:dyDescent="0.3">
      <c r="A66" s="813"/>
      <c r="B66" s="806"/>
      <c r="C66" s="806"/>
      <c r="D66" s="815"/>
      <c r="E66" s="348" t="s">
        <v>323</v>
      </c>
      <c r="F66" s="817"/>
      <c r="G66" s="291">
        <v>174543</v>
      </c>
      <c r="H66" s="291">
        <v>0</v>
      </c>
      <c r="I66" s="524">
        <v>0</v>
      </c>
      <c r="J66" s="291">
        <v>174543</v>
      </c>
      <c r="K66" s="256">
        <v>1</v>
      </c>
    </row>
    <row r="67" spans="1:11" s="199" customFormat="1" ht="185.4" customHeight="1" x14ac:dyDescent="0.3">
      <c r="A67" s="669">
        <v>1516030</v>
      </c>
      <c r="B67" s="671" t="s">
        <v>28</v>
      </c>
      <c r="C67" s="671" t="s">
        <v>29</v>
      </c>
      <c r="D67" s="672" t="s">
        <v>30</v>
      </c>
      <c r="E67" s="346" t="s">
        <v>649</v>
      </c>
      <c r="F67" s="668" t="s">
        <v>520</v>
      </c>
      <c r="G67" s="333">
        <v>406558</v>
      </c>
      <c r="H67" s="333">
        <v>0</v>
      </c>
      <c r="I67" s="701">
        <v>0</v>
      </c>
      <c r="J67" s="333">
        <v>406558</v>
      </c>
      <c r="K67" s="224">
        <v>1</v>
      </c>
    </row>
    <row r="68" spans="1:11" s="199" customFormat="1" ht="147" x14ac:dyDescent="0.3">
      <c r="A68" s="818" t="s">
        <v>332</v>
      </c>
      <c r="B68" s="819" t="s">
        <v>333</v>
      </c>
      <c r="C68" s="819" t="s">
        <v>334</v>
      </c>
      <c r="D68" s="820" t="s">
        <v>336</v>
      </c>
      <c r="E68" s="219" t="s">
        <v>339</v>
      </c>
      <c r="F68" s="816" t="s">
        <v>322</v>
      </c>
      <c r="G68" s="288">
        <v>6435596</v>
      </c>
      <c r="H68" s="349">
        <v>3693192</v>
      </c>
      <c r="I68" s="350">
        <f>H68/G68</f>
        <v>0.57386945979828441</v>
      </c>
      <c r="J68" s="333">
        <v>2138727</v>
      </c>
      <c r="K68" s="574">
        <v>1</v>
      </c>
    </row>
    <row r="69" spans="1:11" s="199" customFormat="1" ht="21" x14ac:dyDescent="0.3">
      <c r="A69" s="818"/>
      <c r="B69" s="819"/>
      <c r="C69" s="819"/>
      <c r="D69" s="821"/>
      <c r="E69" s="526" t="s">
        <v>331</v>
      </c>
      <c r="F69" s="817"/>
      <c r="G69" s="286">
        <v>169440</v>
      </c>
      <c r="H69" s="351">
        <v>167500</v>
      </c>
      <c r="I69" s="332">
        <v>1</v>
      </c>
      <c r="J69" s="333"/>
      <c r="K69" s="575">
        <v>1</v>
      </c>
    </row>
    <row r="70" spans="1:11" s="199" customFormat="1" ht="162.75" customHeight="1" x14ac:dyDescent="0.3">
      <c r="A70" s="664" t="s">
        <v>332</v>
      </c>
      <c r="B70" s="665" t="s">
        <v>333</v>
      </c>
      <c r="C70" s="665" t="s">
        <v>334</v>
      </c>
      <c r="D70" s="592" t="s">
        <v>336</v>
      </c>
      <c r="E70" s="527" t="s">
        <v>525</v>
      </c>
      <c r="F70" s="677" t="s">
        <v>520</v>
      </c>
      <c r="G70" s="504">
        <v>49800</v>
      </c>
      <c r="H70" s="504">
        <v>0</v>
      </c>
      <c r="I70" s="519">
        <v>0</v>
      </c>
      <c r="J70" s="289">
        <v>49800</v>
      </c>
      <c r="K70" s="571">
        <v>1</v>
      </c>
    </row>
    <row r="71" spans="1:11" s="199" customFormat="1" ht="169.2" customHeight="1" x14ac:dyDescent="0.3">
      <c r="A71" s="664" t="s">
        <v>332</v>
      </c>
      <c r="B71" s="665" t="s">
        <v>333</v>
      </c>
      <c r="C71" s="665" t="s">
        <v>334</v>
      </c>
      <c r="D71" s="592" t="s">
        <v>336</v>
      </c>
      <c r="E71" s="527" t="s">
        <v>526</v>
      </c>
      <c r="F71" s="677" t="s">
        <v>520</v>
      </c>
      <c r="G71" s="504">
        <v>1600000</v>
      </c>
      <c r="H71" s="504">
        <v>0</v>
      </c>
      <c r="I71" s="519">
        <v>0</v>
      </c>
      <c r="J71" s="504">
        <f>1550200-400000</f>
        <v>1150200</v>
      </c>
      <c r="K71" s="571">
        <v>1</v>
      </c>
    </row>
    <row r="72" spans="1:11" s="199" customFormat="1" ht="133.19999999999999" customHeight="1" x14ac:dyDescent="0.3">
      <c r="A72" s="799" t="s">
        <v>650</v>
      </c>
      <c r="B72" s="801" t="s">
        <v>651</v>
      </c>
      <c r="C72" s="801" t="s">
        <v>334</v>
      </c>
      <c r="D72" s="803" t="s">
        <v>652</v>
      </c>
      <c r="E72" s="697" t="s">
        <v>653</v>
      </c>
      <c r="F72" s="805" t="s">
        <v>654</v>
      </c>
      <c r="G72" s="504">
        <v>1630569</v>
      </c>
      <c r="H72" s="504">
        <v>120891</v>
      </c>
      <c r="I72" s="519">
        <f>(H72/G72)*100%</f>
        <v>7.4140376764184779E-2</v>
      </c>
      <c r="J72" s="504">
        <v>1501526</v>
      </c>
      <c r="K72" s="571">
        <v>1</v>
      </c>
    </row>
    <row r="73" spans="1:11" s="287" customFormat="1" ht="44.4" customHeight="1" x14ac:dyDescent="0.35">
      <c r="A73" s="800"/>
      <c r="B73" s="802"/>
      <c r="C73" s="802"/>
      <c r="D73" s="804"/>
      <c r="E73" s="702" t="s">
        <v>335</v>
      </c>
      <c r="F73" s="806"/>
      <c r="G73" s="335">
        <v>129043</v>
      </c>
      <c r="H73" s="335">
        <v>120891</v>
      </c>
      <c r="I73" s="703">
        <v>1</v>
      </c>
      <c r="J73" s="335"/>
      <c r="K73" s="576">
        <v>1</v>
      </c>
    </row>
    <row r="74" spans="1:11" s="199" customFormat="1" ht="194.4" customHeight="1" x14ac:dyDescent="0.3">
      <c r="A74" s="673" t="s">
        <v>527</v>
      </c>
      <c r="B74" s="670" t="s">
        <v>528</v>
      </c>
      <c r="C74" s="670" t="s">
        <v>334</v>
      </c>
      <c r="D74" s="544" t="s">
        <v>529</v>
      </c>
      <c r="E74" s="503" t="s">
        <v>530</v>
      </c>
      <c r="F74" s="677" t="s">
        <v>520</v>
      </c>
      <c r="G74" s="334">
        <v>1477980</v>
      </c>
      <c r="H74" s="334">
        <v>0</v>
      </c>
      <c r="I74" s="506">
        <v>0</v>
      </c>
      <c r="J74" s="334">
        <f>1477980-213962</f>
        <v>1264018</v>
      </c>
      <c r="K74" s="569">
        <v>1</v>
      </c>
    </row>
    <row r="75" spans="1:11" s="199" customFormat="1" ht="67.5" hidden="1" customHeight="1" x14ac:dyDescent="0.3">
      <c r="A75" s="673" t="s">
        <v>527</v>
      </c>
      <c r="B75" s="670" t="s">
        <v>528</v>
      </c>
      <c r="C75" s="670" t="s">
        <v>334</v>
      </c>
      <c r="D75" s="544" t="s">
        <v>529</v>
      </c>
      <c r="E75" s="527" t="s">
        <v>531</v>
      </c>
      <c r="F75" s="677" t="s">
        <v>520</v>
      </c>
      <c r="G75" s="334">
        <f>J75</f>
        <v>0</v>
      </c>
      <c r="H75" s="334">
        <v>0</v>
      </c>
      <c r="I75" s="506">
        <v>0</v>
      </c>
      <c r="J75" s="334">
        <v>0</v>
      </c>
      <c r="K75" s="569">
        <v>1</v>
      </c>
    </row>
    <row r="76" spans="1:11" s="199" customFormat="1" ht="111" hidden="1" customHeight="1" x14ac:dyDescent="0.3">
      <c r="A76" s="664" t="s">
        <v>532</v>
      </c>
      <c r="B76" s="541" t="s">
        <v>533</v>
      </c>
      <c r="C76" s="541" t="s">
        <v>178</v>
      </c>
      <c r="D76" s="528" t="s">
        <v>500</v>
      </c>
      <c r="E76" s="518" t="s">
        <v>534</v>
      </c>
      <c r="F76" s="677" t="s">
        <v>520</v>
      </c>
      <c r="G76" s="334">
        <f t="shared" ref="G76:G77" si="0">J76</f>
        <v>0</v>
      </c>
      <c r="H76" s="504">
        <v>0</v>
      </c>
      <c r="I76" s="506">
        <v>0</v>
      </c>
      <c r="J76" s="504">
        <v>0</v>
      </c>
      <c r="K76" s="571">
        <v>1</v>
      </c>
    </row>
    <row r="77" spans="1:11" s="199" customFormat="1" ht="105.75" hidden="1" customHeight="1" thickBot="1" x14ac:dyDescent="0.35">
      <c r="A77" s="664" t="s">
        <v>532</v>
      </c>
      <c r="B77" s="541" t="s">
        <v>533</v>
      </c>
      <c r="C77" s="541" t="s">
        <v>178</v>
      </c>
      <c r="D77" s="528" t="s">
        <v>500</v>
      </c>
      <c r="E77" s="529" t="s">
        <v>535</v>
      </c>
      <c r="F77" s="677" t="s">
        <v>520</v>
      </c>
      <c r="G77" s="334">
        <f t="shared" si="0"/>
        <v>0</v>
      </c>
      <c r="H77" s="504">
        <v>0</v>
      </c>
      <c r="I77" s="506">
        <v>0</v>
      </c>
      <c r="J77" s="504">
        <v>0</v>
      </c>
      <c r="K77" s="571">
        <v>1</v>
      </c>
    </row>
    <row r="78" spans="1:11" s="199" customFormat="1" ht="116.4" customHeight="1" x14ac:dyDescent="0.3">
      <c r="A78" s="807" t="s">
        <v>655</v>
      </c>
      <c r="B78" s="807" t="s">
        <v>140</v>
      </c>
      <c r="C78" s="807" t="s">
        <v>141</v>
      </c>
      <c r="D78" s="809" t="s">
        <v>142</v>
      </c>
      <c r="E78" s="529" t="s">
        <v>656</v>
      </c>
      <c r="F78" s="805" t="s">
        <v>322</v>
      </c>
      <c r="G78" s="334">
        <v>59808325</v>
      </c>
      <c r="H78" s="504">
        <v>747615</v>
      </c>
      <c r="I78" s="506">
        <f>H78/G78</f>
        <v>1.2500182875878901E-2</v>
      </c>
      <c r="J78" s="504">
        <v>12000000</v>
      </c>
      <c r="K78" s="519">
        <f>(J78+H78)/G78</f>
        <v>0.21314114715635324</v>
      </c>
    </row>
    <row r="79" spans="1:11" s="199" customFormat="1" ht="34.950000000000003" customHeight="1" thickBot="1" x14ac:dyDescent="0.35">
      <c r="A79" s="808"/>
      <c r="B79" s="808"/>
      <c r="C79" s="808"/>
      <c r="D79" s="810"/>
      <c r="E79" s="704" t="s">
        <v>323</v>
      </c>
      <c r="F79" s="811"/>
      <c r="G79" s="705">
        <v>879902</v>
      </c>
      <c r="H79" s="706">
        <v>747615</v>
      </c>
      <c r="I79" s="707">
        <v>1</v>
      </c>
      <c r="J79" s="706"/>
      <c r="K79" s="708">
        <v>1</v>
      </c>
    </row>
    <row r="80" spans="1:11" s="199" customFormat="1" ht="70.5" customHeight="1" thickBot="1" x14ac:dyDescent="0.35">
      <c r="A80" s="233" t="s">
        <v>214</v>
      </c>
      <c r="B80" s="234" t="s">
        <v>16</v>
      </c>
      <c r="C80" s="234" t="s">
        <v>16</v>
      </c>
      <c r="D80" s="584" t="s">
        <v>215</v>
      </c>
      <c r="E80" s="292"/>
      <c r="F80" s="293"/>
      <c r="G80" s="294"/>
      <c r="H80" s="295"/>
      <c r="I80" s="296"/>
      <c r="J80" s="279">
        <f>J81</f>
        <v>23000</v>
      </c>
      <c r="K80" s="577"/>
    </row>
    <row r="81" spans="1:16" s="199" customFormat="1" ht="69.75" customHeight="1" x14ac:dyDescent="0.3">
      <c r="A81" s="240" t="s">
        <v>216</v>
      </c>
      <c r="B81" s="241" t="s">
        <v>16</v>
      </c>
      <c r="C81" s="241" t="s">
        <v>16</v>
      </c>
      <c r="D81" s="585" t="s">
        <v>215</v>
      </c>
      <c r="E81" s="297"/>
      <c r="F81" s="667"/>
      <c r="G81" s="298"/>
      <c r="H81" s="299"/>
      <c r="I81" s="300"/>
      <c r="J81" s="283">
        <f>J82</f>
        <v>23000</v>
      </c>
      <c r="K81" s="578"/>
    </row>
    <row r="82" spans="1:16" s="199" customFormat="1" ht="70.95" customHeight="1" thickBot="1" x14ac:dyDescent="0.35">
      <c r="A82" s="247" t="s">
        <v>217</v>
      </c>
      <c r="B82" s="248" t="s">
        <v>46</v>
      </c>
      <c r="C82" s="248" t="s">
        <v>19</v>
      </c>
      <c r="D82" s="586" t="s">
        <v>182</v>
      </c>
      <c r="E82" s="249" t="s">
        <v>316</v>
      </c>
      <c r="F82" s="666"/>
      <c r="G82" s="301"/>
      <c r="H82" s="290"/>
      <c r="I82" s="302"/>
      <c r="J82" s="303">
        <v>23000</v>
      </c>
      <c r="K82" s="579"/>
    </row>
    <row r="83" spans="1:16" ht="21" thickBot="1" x14ac:dyDescent="0.3">
      <c r="A83" s="304" t="s">
        <v>326</v>
      </c>
      <c r="B83" s="204" t="s">
        <v>326</v>
      </c>
      <c r="C83" s="204" t="s">
        <v>326</v>
      </c>
      <c r="D83" s="203" t="s">
        <v>150</v>
      </c>
      <c r="E83" s="305" t="s">
        <v>326</v>
      </c>
      <c r="F83" s="306" t="s">
        <v>326</v>
      </c>
      <c r="G83" s="307" t="s">
        <v>326</v>
      </c>
      <c r="H83" s="307" t="s">
        <v>326</v>
      </c>
      <c r="I83" s="307" t="s">
        <v>326</v>
      </c>
      <c r="J83" s="308">
        <f>J22+J30+J34+J40+J43+J80</f>
        <v>83557282</v>
      </c>
      <c r="K83" s="309" t="s">
        <v>326</v>
      </c>
      <c r="M83" s="310"/>
    </row>
    <row r="84" spans="1:16" ht="20.399999999999999" x14ac:dyDescent="0.25">
      <c r="A84" s="311"/>
      <c r="B84" s="312"/>
      <c r="C84" s="312"/>
      <c r="D84" s="313"/>
      <c r="E84" s="314"/>
      <c r="F84" s="315"/>
      <c r="G84" s="316"/>
      <c r="H84" s="316"/>
      <c r="I84" s="316"/>
      <c r="J84" s="317"/>
      <c r="K84" s="318"/>
    </row>
    <row r="85" spans="1:16" s="72" customFormat="1" ht="49.95" customHeight="1" x14ac:dyDescent="0.3">
      <c r="A85" s="790" t="s">
        <v>552</v>
      </c>
      <c r="B85" s="790"/>
      <c r="C85" s="790"/>
      <c r="D85" s="790"/>
      <c r="E85" s="790"/>
      <c r="F85" s="790"/>
      <c r="G85" s="790"/>
      <c r="H85" s="790"/>
      <c r="I85" s="790"/>
      <c r="J85" s="790"/>
      <c r="K85" s="485"/>
      <c r="L85" s="69"/>
      <c r="M85" s="485"/>
      <c r="N85" s="485"/>
      <c r="O85" s="70"/>
      <c r="P85" s="71"/>
    </row>
    <row r="87" spans="1:16" s="61" customFormat="1" ht="21" x14ac:dyDescent="0.4">
      <c r="A87" s="319"/>
      <c r="B87" s="319"/>
      <c r="G87" s="320"/>
      <c r="J87" s="321"/>
    </row>
    <row r="88" spans="1:16" s="323" customFormat="1" ht="21" x14ac:dyDescent="0.4">
      <c r="A88" s="322"/>
      <c r="B88" s="322"/>
    </row>
    <row r="89" spans="1:16" s="324" customFormat="1" ht="21" x14ac:dyDescent="0.4">
      <c r="B89" s="325"/>
      <c r="C89" s="326"/>
      <c r="E89" s="327"/>
      <c r="F89" s="326"/>
      <c r="G89" s="320"/>
      <c r="H89" s="320"/>
      <c r="I89" s="320"/>
      <c r="J89" s="328"/>
      <c r="K89" s="328"/>
    </row>
    <row r="90" spans="1:16" x14ac:dyDescent="0.25">
      <c r="B90" s="181"/>
      <c r="C90" s="181"/>
      <c r="D90" s="181"/>
      <c r="E90" s="181"/>
      <c r="F90" s="181"/>
      <c r="G90" s="181"/>
      <c r="H90" s="181"/>
      <c r="I90" s="181"/>
      <c r="J90" s="181"/>
      <c r="K90" s="181"/>
    </row>
    <row r="91" spans="1:16" x14ac:dyDescent="0.25">
      <c r="B91" s="181"/>
      <c r="C91" s="181"/>
      <c r="D91" s="181"/>
      <c r="E91" s="181"/>
      <c r="F91" s="181"/>
      <c r="G91" s="181"/>
      <c r="H91" s="181"/>
      <c r="I91" s="181"/>
      <c r="J91" s="181"/>
      <c r="K91" s="181"/>
    </row>
  </sheetData>
  <mergeCells count="67">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A52:A53"/>
    <mergeCell ref="B52:B53"/>
    <mergeCell ref="C52:C53"/>
    <mergeCell ref="D52:D53"/>
    <mergeCell ref="F52:F53"/>
    <mergeCell ref="A46:A47"/>
    <mergeCell ref="B46:B47"/>
    <mergeCell ref="C46:C47"/>
    <mergeCell ref="D46:D47"/>
    <mergeCell ref="F46:F47"/>
    <mergeCell ref="A58:A59"/>
    <mergeCell ref="B58:B59"/>
    <mergeCell ref="C58:C59"/>
    <mergeCell ref="D58:D59"/>
    <mergeCell ref="F58:F59"/>
    <mergeCell ref="A54:A56"/>
    <mergeCell ref="B54:B56"/>
    <mergeCell ref="C54:C56"/>
    <mergeCell ref="D54:D56"/>
    <mergeCell ref="F54:F56"/>
    <mergeCell ref="A62:A64"/>
    <mergeCell ref="B62:B64"/>
    <mergeCell ref="C62:C64"/>
    <mergeCell ref="D62:D64"/>
    <mergeCell ref="F62:F64"/>
    <mergeCell ref="A60:A61"/>
    <mergeCell ref="B60:B61"/>
    <mergeCell ref="C60:C61"/>
    <mergeCell ref="D60:D61"/>
    <mergeCell ref="F60:F61"/>
    <mergeCell ref="A68:A69"/>
    <mergeCell ref="B68:B69"/>
    <mergeCell ref="C68:C69"/>
    <mergeCell ref="D68:D69"/>
    <mergeCell ref="F68:F69"/>
    <mergeCell ref="A65:A66"/>
    <mergeCell ref="B65:B66"/>
    <mergeCell ref="C65:C66"/>
    <mergeCell ref="D65:D66"/>
    <mergeCell ref="F65:F66"/>
    <mergeCell ref="A85:J85"/>
    <mergeCell ref="A72:A73"/>
    <mergeCell ref="B72:B73"/>
    <mergeCell ref="C72:C73"/>
    <mergeCell ref="D72:D73"/>
    <mergeCell ref="F72:F73"/>
    <mergeCell ref="A78:A79"/>
    <mergeCell ref="B78:B79"/>
    <mergeCell ref="C78:C79"/>
    <mergeCell ref="D78:D79"/>
    <mergeCell ref="F78:F79"/>
  </mergeCells>
  <pageMargins left="1.1811023622047245" right="0.39370078740157483" top="0.78740157480314965" bottom="0.78740157480314965" header="0.31496062992125984" footer="0.31496062992125984"/>
  <pageSetup paperSize="9" scale="55" orientation="landscape" r:id="rId1"/>
  <rowBreaks count="3" manualBreakCount="3">
    <brk id="61" max="10" man="1"/>
    <brk id="69" max="10" man="1"/>
    <brk id="73"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43" zoomScale="60" zoomScaleNormal="100" workbookViewId="0">
      <selection activeCell="E5" sqref="E5"/>
    </sheetView>
  </sheetViews>
  <sheetFormatPr defaultColWidth="9.33203125" defaultRowHeight="13.2" x14ac:dyDescent="0.25"/>
  <cols>
    <col min="1" max="1" width="16.44140625" style="184" customWidth="1"/>
    <col min="2" max="2" width="11.6640625" style="184" customWidth="1"/>
    <col min="3" max="3" width="10.33203125" style="608" customWidth="1"/>
    <col min="4" max="4" width="22.6640625" style="184" customWidth="1"/>
    <col min="5" max="5" width="76.88671875" style="659" customWidth="1"/>
    <col min="6" max="6" width="19" style="659" customWidth="1"/>
    <col min="7" max="251" width="9.33203125" style="184"/>
    <col min="252" max="252" width="12.33203125" style="184" customWidth="1"/>
    <col min="253" max="253" width="11.6640625" style="184" customWidth="1"/>
    <col min="254" max="254" width="12.5546875" style="184" customWidth="1"/>
    <col min="255" max="255" width="22.6640625" style="184" customWidth="1"/>
    <col min="256" max="256" width="51.44140625" style="184" customWidth="1"/>
    <col min="257" max="257" width="16.109375" style="184" customWidth="1"/>
    <col min="258" max="507" width="9.33203125" style="184"/>
    <col min="508" max="508" width="12.33203125" style="184" customWidth="1"/>
    <col min="509" max="509" width="11.6640625" style="184" customWidth="1"/>
    <col min="510" max="510" width="12.5546875" style="184" customWidth="1"/>
    <col min="511" max="511" width="22.6640625" style="184" customWidth="1"/>
    <col min="512" max="512" width="51.44140625" style="184" customWidth="1"/>
    <col min="513" max="513" width="16.109375" style="184" customWidth="1"/>
    <col min="514" max="763" width="9.33203125" style="184"/>
    <col min="764" max="764" width="12.33203125" style="184" customWidth="1"/>
    <col min="765" max="765" width="11.6640625" style="184" customWidth="1"/>
    <col min="766" max="766" width="12.5546875" style="184" customWidth="1"/>
    <col min="767" max="767" width="22.6640625" style="184" customWidth="1"/>
    <col min="768" max="768" width="51.44140625" style="184" customWidth="1"/>
    <col min="769" max="769" width="16.109375" style="184" customWidth="1"/>
    <col min="770" max="1019" width="9.33203125" style="184"/>
    <col min="1020" max="1020" width="12.33203125" style="184" customWidth="1"/>
    <col min="1021" max="1021" width="11.6640625" style="184" customWidth="1"/>
    <col min="1022" max="1022" width="12.5546875" style="184" customWidth="1"/>
    <col min="1023" max="1023" width="22.6640625" style="184" customWidth="1"/>
    <col min="1024" max="1024" width="51.44140625" style="184" customWidth="1"/>
    <col min="1025" max="1025" width="16.109375" style="184" customWidth="1"/>
    <col min="1026" max="1275" width="9.33203125" style="184"/>
    <col min="1276" max="1276" width="12.33203125" style="184" customWidth="1"/>
    <col min="1277" max="1277" width="11.6640625" style="184" customWidth="1"/>
    <col min="1278" max="1278" width="12.5546875" style="184" customWidth="1"/>
    <col min="1279" max="1279" width="22.6640625" style="184" customWidth="1"/>
    <col min="1280" max="1280" width="51.44140625" style="184" customWidth="1"/>
    <col min="1281" max="1281" width="16.109375" style="184" customWidth="1"/>
    <col min="1282" max="1531" width="9.33203125" style="184"/>
    <col min="1532" max="1532" width="12.33203125" style="184" customWidth="1"/>
    <col min="1533" max="1533" width="11.6640625" style="184" customWidth="1"/>
    <col min="1534" max="1534" width="12.5546875" style="184" customWidth="1"/>
    <col min="1535" max="1535" width="22.6640625" style="184" customWidth="1"/>
    <col min="1536" max="1536" width="51.44140625" style="184" customWidth="1"/>
    <col min="1537" max="1537" width="16.109375" style="184" customWidth="1"/>
    <col min="1538" max="1787" width="9.33203125" style="184"/>
    <col min="1788" max="1788" width="12.33203125" style="184" customWidth="1"/>
    <col min="1789" max="1789" width="11.6640625" style="184" customWidth="1"/>
    <col min="1790" max="1790" width="12.5546875" style="184" customWidth="1"/>
    <col min="1791" max="1791" width="22.6640625" style="184" customWidth="1"/>
    <col min="1792" max="1792" width="51.44140625" style="184" customWidth="1"/>
    <col min="1793" max="1793" width="16.109375" style="184" customWidth="1"/>
    <col min="1794" max="2043" width="9.33203125" style="184"/>
    <col min="2044" max="2044" width="12.33203125" style="184" customWidth="1"/>
    <col min="2045" max="2045" width="11.6640625" style="184" customWidth="1"/>
    <col min="2046" max="2046" width="12.5546875" style="184" customWidth="1"/>
    <col min="2047" max="2047" width="22.6640625" style="184" customWidth="1"/>
    <col min="2048" max="2048" width="51.44140625" style="184" customWidth="1"/>
    <col min="2049" max="2049" width="16.109375" style="184" customWidth="1"/>
    <col min="2050" max="2299" width="9.33203125" style="184"/>
    <col min="2300" max="2300" width="12.33203125" style="184" customWidth="1"/>
    <col min="2301" max="2301" width="11.6640625" style="184" customWidth="1"/>
    <col min="2302" max="2302" width="12.5546875" style="184" customWidth="1"/>
    <col min="2303" max="2303" width="22.6640625" style="184" customWidth="1"/>
    <col min="2304" max="2304" width="51.44140625" style="184" customWidth="1"/>
    <col min="2305" max="2305" width="16.109375" style="184" customWidth="1"/>
    <col min="2306" max="2555" width="9.33203125" style="184"/>
    <col min="2556" max="2556" width="12.33203125" style="184" customWidth="1"/>
    <col min="2557" max="2557" width="11.6640625" style="184" customWidth="1"/>
    <col min="2558" max="2558" width="12.5546875" style="184" customWidth="1"/>
    <col min="2559" max="2559" width="22.6640625" style="184" customWidth="1"/>
    <col min="2560" max="2560" width="51.44140625" style="184" customWidth="1"/>
    <col min="2561" max="2561" width="16.109375" style="184" customWidth="1"/>
    <col min="2562" max="2811" width="9.33203125" style="184"/>
    <col min="2812" max="2812" width="12.33203125" style="184" customWidth="1"/>
    <col min="2813" max="2813" width="11.6640625" style="184" customWidth="1"/>
    <col min="2814" max="2814" width="12.5546875" style="184" customWidth="1"/>
    <col min="2815" max="2815" width="22.6640625" style="184" customWidth="1"/>
    <col min="2816" max="2816" width="51.44140625" style="184" customWidth="1"/>
    <col min="2817" max="2817" width="16.109375" style="184" customWidth="1"/>
    <col min="2818" max="3067" width="9.33203125" style="184"/>
    <col min="3068" max="3068" width="12.33203125" style="184" customWidth="1"/>
    <col min="3069" max="3069" width="11.6640625" style="184" customWidth="1"/>
    <col min="3070" max="3070" width="12.5546875" style="184" customWidth="1"/>
    <col min="3071" max="3071" width="22.6640625" style="184" customWidth="1"/>
    <col min="3072" max="3072" width="51.44140625" style="184" customWidth="1"/>
    <col min="3073" max="3073" width="16.109375" style="184" customWidth="1"/>
    <col min="3074" max="3323" width="9.33203125" style="184"/>
    <col min="3324" max="3324" width="12.33203125" style="184" customWidth="1"/>
    <col min="3325" max="3325" width="11.6640625" style="184" customWidth="1"/>
    <col min="3326" max="3326" width="12.5546875" style="184" customWidth="1"/>
    <col min="3327" max="3327" width="22.6640625" style="184" customWidth="1"/>
    <col min="3328" max="3328" width="51.44140625" style="184" customWidth="1"/>
    <col min="3329" max="3329" width="16.109375" style="184" customWidth="1"/>
    <col min="3330" max="3579" width="9.33203125" style="184"/>
    <col min="3580" max="3580" width="12.33203125" style="184" customWidth="1"/>
    <col min="3581" max="3581" width="11.6640625" style="184" customWidth="1"/>
    <col min="3582" max="3582" width="12.5546875" style="184" customWidth="1"/>
    <col min="3583" max="3583" width="22.6640625" style="184" customWidth="1"/>
    <col min="3584" max="3584" width="51.44140625" style="184" customWidth="1"/>
    <col min="3585" max="3585" width="16.109375" style="184" customWidth="1"/>
    <col min="3586" max="3835" width="9.33203125" style="184"/>
    <col min="3836" max="3836" width="12.33203125" style="184" customWidth="1"/>
    <col min="3837" max="3837" width="11.6640625" style="184" customWidth="1"/>
    <col min="3838" max="3838" width="12.5546875" style="184" customWidth="1"/>
    <col min="3839" max="3839" width="22.6640625" style="184" customWidth="1"/>
    <col min="3840" max="3840" width="51.44140625" style="184" customWidth="1"/>
    <col min="3841" max="3841" width="16.109375" style="184" customWidth="1"/>
    <col min="3842" max="4091" width="9.33203125" style="184"/>
    <col min="4092" max="4092" width="12.33203125" style="184" customWidth="1"/>
    <col min="4093" max="4093" width="11.6640625" style="184" customWidth="1"/>
    <col min="4094" max="4094" width="12.5546875" style="184" customWidth="1"/>
    <col min="4095" max="4095" width="22.6640625" style="184" customWidth="1"/>
    <col min="4096" max="4096" width="51.44140625" style="184" customWidth="1"/>
    <col min="4097" max="4097" width="16.109375" style="184" customWidth="1"/>
    <col min="4098" max="4347" width="9.33203125" style="184"/>
    <col min="4348" max="4348" width="12.33203125" style="184" customWidth="1"/>
    <col min="4349" max="4349" width="11.6640625" style="184" customWidth="1"/>
    <col min="4350" max="4350" width="12.5546875" style="184" customWidth="1"/>
    <col min="4351" max="4351" width="22.6640625" style="184" customWidth="1"/>
    <col min="4352" max="4352" width="51.44140625" style="184" customWidth="1"/>
    <col min="4353" max="4353" width="16.109375" style="184" customWidth="1"/>
    <col min="4354" max="4603" width="9.33203125" style="184"/>
    <col min="4604" max="4604" width="12.33203125" style="184" customWidth="1"/>
    <col min="4605" max="4605" width="11.6640625" style="184" customWidth="1"/>
    <col min="4606" max="4606" width="12.5546875" style="184" customWidth="1"/>
    <col min="4607" max="4607" width="22.6640625" style="184" customWidth="1"/>
    <col min="4608" max="4608" width="51.44140625" style="184" customWidth="1"/>
    <col min="4609" max="4609" width="16.109375" style="184" customWidth="1"/>
    <col min="4610" max="4859" width="9.33203125" style="184"/>
    <col min="4860" max="4860" width="12.33203125" style="184" customWidth="1"/>
    <col min="4861" max="4861" width="11.6640625" style="184" customWidth="1"/>
    <col min="4862" max="4862" width="12.5546875" style="184" customWidth="1"/>
    <col min="4863" max="4863" width="22.6640625" style="184" customWidth="1"/>
    <col min="4864" max="4864" width="51.44140625" style="184" customWidth="1"/>
    <col min="4865" max="4865" width="16.109375" style="184" customWidth="1"/>
    <col min="4866" max="5115" width="9.33203125" style="184"/>
    <col min="5116" max="5116" width="12.33203125" style="184" customWidth="1"/>
    <col min="5117" max="5117" width="11.6640625" style="184" customWidth="1"/>
    <col min="5118" max="5118" width="12.5546875" style="184" customWidth="1"/>
    <col min="5119" max="5119" width="22.6640625" style="184" customWidth="1"/>
    <col min="5120" max="5120" width="51.44140625" style="184" customWidth="1"/>
    <col min="5121" max="5121" width="16.109375" style="184" customWidth="1"/>
    <col min="5122" max="5371" width="9.33203125" style="184"/>
    <col min="5372" max="5372" width="12.33203125" style="184" customWidth="1"/>
    <col min="5373" max="5373" width="11.6640625" style="184" customWidth="1"/>
    <col min="5374" max="5374" width="12.5546875" style="184" customWidth="1"/>
    <col min="5375" max="5375" width="22.6640625" style="184" customWidth="1"/>
    <col min="5376" max="5376" width="51.44140625" style="184" customWidth="1"/>
    <col min="5377" max="5377" width="16.109375" style="184" customWidth="1"/>
    <col min="5378" max="5627" width="9.33203125" style="184"/>
    <col min="5628" max="5628" width="12.33203125" style="184" customWidth="1"/>
    <col min="5629" max="5629" width="11.6640625" style="184" customWidth="1"/>
    <col min="5630" max="5630" width="12.5546875" style="184" customWidth="1"/>
    <col min="5631" max="5631" width="22.6640625" style="184" customWidth="1"/>
    <col min="5632" max="5632" width="51.44140625" style="184" customWidth="1"/>
    <col min="5633" max="5633" width="16.109375" style="184" customWidth="1"/>
    <col min="5634" max="5883" width="9.33203125" style="184"/>
    <col min="5884" max="5884" width="12.33203125" style="184" customWidth="1"/>
    <col min="5885" max="5885" width="11.6640625" style="184" customWidth="1"/>
    <col min="5886" max="5886" width="12.5546875" style="184" customWidth="1"/>
    <col min="5887" max="5887" width="22.6640625" style="184" customWidth="1"/>
    <col min="5888" max="5888" width="51.44140625" style="184" customWidth="1"/>
    <col min="5889" max="5889" width="16.109375" style="184" customWidth="1"/>
    <col min="5890" max="6139" width="9.33203125" style="184"/>
    <col min="6140" max="6140" width="12.33203125" style="184" customWidth="1"/>
    <col min="6141" max="6141" width="11.6640625" style="184" customWidth="1"/>
    <col min="6142" max="6142" width="12.5546875" style="184" customWidth="1"/>
    <col min="6143" max="6143" width="22.6640625" style="184" customWidth="1"/>
    <col min="6144" max="6144" width="51.44140625" style="184" customWidth="1"/>
    <col min="6145" max="6145" width="16.109375" style="184" customWidth="1"/>
    <col min="6146" max="6395" width="9.33203125" style="184"/>
    <col min="6396" max="6396" width="12.33203125" style="184" customWidth="1"/>
    <col min="6397" max="6397" width="11.6640625" style="184" customWidth="1"/>
    <col min="6398" max="6398" width="12.5546875" style="184" customWidth="1"/>
    <col min="6399" max="6399" width="22.6640625" style="184" customWidth="1"/>
    <col min="6400" max="6400" width="51.44140625" style="184" customWidth="1"/>
    <col min="6401" max="6401" width="16.109375" style="184" customWidth="1"/>
    <col min="6402" max="6651" width="9.33203125" style="184"/>
    <col min="6652" max="6652" width="12.33203125" style="184" customWidth="1"/>
    <col min="6653" max="6653" width="11.6640625" style="184" customWidth="1"/>
    <col min="6654" max="6654" width="12.5546875" style="184" customWidth="1"/>
    <col min="6655" max="6655" width="22.6640625" style="184" customWidth="1"/>
    <col min="6656" max="6656" width="51.44140625" style="184" customWidth="1"/>
    <col min="6657" max="6657" width="16.109375" style="184" customWidth="1"/>
    <col min="6658" max="6907" width="9.33203125" style="184"/>
    <col min="6908" max="6908" width="12.33203125" style="184" customWidth="1"/>
    <col min="6909" max="6909" width="11.6640625" style="184" customWidth="1"/>
    <col min="6910" max="6910" width="12.5546875" style="184" customWidth="1"/>
    <col min="6911" max="6911" width="22.6640625" style="184" customWidth="1"/>
    <col min="6912" max="6912" width="51.44140625" style="184" customWidth="1"/>
    <col min="6913" max="6913" width="16.109375" style="184" customWidth="1"/>
    <col min="6914" max="7163" width="9.33203125" style="184"/>
    <col min="7164" max="7164" width="12.33203125" style="184" customWidth="1"/>
    <col min="7165" max="7165" width="11.6640625" style="184" customWidth="1"/>
    <col min="7166" max="7166" width="12.5546875" style="184" customWidth="1"/>
    <col min="7167" max="7167" width="22.6640625" style="184" customWidth="1"/>
    <col min="7168" max="7168" width="51.44140625" style="184" customWidth="1"/>
    <col min="7169" max="7169" width="16.109375" style="184" customWidth="1"/>
    <col min="7170" max="7419" width="9.33203125" style="184"/>
    <col min="7420" max="7420" width="12.33203125" style="184" customWidth="1"/>
    <col min="7421" max="7421" width="11.6640625" style="184" customWidth="1"/>
    <col min="7422" max="7422" width="12.5546875" style="184" customWidth="1"/>
    <col min="7423" max="7423" width="22.6640625" style="184" customWidth="1"/>
    <col min="7424" max="7424" width="51.44140625" style="184" customWidth="1"/>
    <col min="7425" max="7425" width="16.109375" style="184" customWidth="1"/>
    <col min="7426" max="7675" width="9.33203125" style="184"/>
    <col min="7676" max="7676" width="12.33203125" style="184" customWidth="1"/>
    <col min="7677" max="7677" width="11.6640625" style="184" customWidth="1"/>
    <col min="7678" max="7678" width="12.5546875" style="184" customWidth="1"/>
    <col min="7679" max="7679" width="22.6640625" style="184" customWidth="1"/>
    <col min="7680" max="7680" width="51.44140625" style="184" customWidth="1"/>
    <col min="7681" max="7681" width="16.109375" style="184" customWidth="1"/>
    <col min="7682" max="7931" width="9.33203125" style="184"/>
    <col min="7932" max="7932" width="12.33203125" style="184" customWidth="1"/>
    <col min="7933" max="7933" width="11.6640625" style="184" customWidth="1"/>
    <col min="7934" max="7934" width="12.5546875" style="184" customWidth="1"/>
    <col min="7935" max="7935" width="22.6640625" style="184" customWidth="1"/>
    <col min="7936" max="7936" width="51.44140625" style="184" customWidth="1"/>
    <col min="7937" max="7937" width="16.109375" style="184" customWidth="1"/>
    <col min="7938" max="8187" width="9.33203125" style="184"/>
    <col min="8188" max="8188" width="12.33203125" style="184" customWidth="1"/>
    <col min="8189" max="8189" width="11.6640625" style="184" customWidth="1"/>
    <col min="8190" max="8190" width="12.5546875" style="184" customWidth="1"/>
    <col min="8191" max="8191" width="22.6640625" style="184" customWidth="1"/>
    <col min="8192" max="8192" width="51.44140625" style="184" customWidth="1"/>
    <col min="8193" max="8193" width="16.109375" style="184" customWidth="1"/>
    <col min="8194" max="8443" width="9.33203125" style="184"/>
    <col min="8444" max="8444" width="12.33203125" style="184" customWidth="1"/>
    <col min="8445" max="8445" width="11.6640625" style="184" customWidth="1"/>
    <col min="8446" max="8446" width="12.5546875" style="184" customWidth="1"/>
    <col min="8447" max="8447" width="22.6640625" style="184" customWidth="1"/>
    <col min="8448" max="8448" width="51.44140625" style="184" customWidth="1"/>
    <col min="8449" max="8449" width="16.109375" style="184" customWidth="1"/>
    <col min="8450" max="8699" width="9.33203125" style="184"/>
    <col min="8700" max="8700" width="12.33203125" style="184" customWidth="1"/>
    <col min="8701" max="8701" width="11.6640625" style="184" customWidth="1"/>
    <col min="8702" max="8702" width="12.5546875" style="184" customWidth="1"/>
    <col min="8703" max="8703" width="22.6640625" style="184" customWidth="1"/>
    <col min="8704" max="8704" width="51.44140625" style="184" customWidth="1"/>
    <col min="8705" max="8705" width="16.109375" style="184" customWidth="1"/>
    <col min="8706" max="8955" width="9.33203125" style="184"/>
    <col min="8956" max="8956" width="12.33203125" style="184" customWidth="1"/>
    <col min="8957" max="8957" width="11.6640625" style="184" customWidth="1"/>
    <col min="8958" max="8958" width="12.5546875" style="184" customWidth="1"/>
    <col min="8959" max="8959" width="22.6640625" style="184" customWidth="1"/>
    <col min="8960" max="8960" width="51.44140625" style="184" customWidth="1"/>
    <col min="8961" max="8961" width="16.109375" style="184" customWidth="1"/>
    <col min="8962" max="9211" width="9.33203125" style="184"/>
    <col min="9212" max="9212" width="12.33203125" style="184" customWidth="1"/>
    <col min="9213" max="9213" width="11.6640625" style="184" customWidth="1"/>
    <col min="9214" max="9214" width="12.5546875" style="184" customWidth="1"/>
    <col min="9215" max="9215" width="22.6640625" style="184" customWidth="1"/>
    <col min="9216" max="9216" width="51.44140625" style="184" customWidth="1"/>
    <col min="9217" max="9217" width="16.109375" style="184" customWidth="1"/>
    <col min="9218" max="9467" width="9.33203125" style="184"/>
    <col min="9468" max="9468" width="12.33203125" style="184" customWidth="1"/>
    <col min="9469" max="9469" width="11.6640625" style="184" customWidth="1"/>
    <col min="9470" max="9470" width="12.5546875" style="184" customWidth="1"/>
    <col min="9471" max="9471" width="22.6640625" style="184" customWidth="1"/>
    <col min="9472" max="9472" width="51.44140625" style="184" customWidth="1"/>
    <col min="9473" max="9473" width="16.109375" style="184" customWidth="1"/>
    <col min="9474" max="9723" width="9.33203125" style="184"/>
    <col min="9724" max="9724" width="12.33203125" style="184" customWidth="1"/>
    <col min="9725" max="9725" width="11.6640625" style="184" customWidth="1"/>
    <col min="9726" max="9726" width="12.5546875" style="184" customWidth="1"/>
    <col min="9727" max="9727" width="22.6640625" style="184" customWidth="1"/>
    <col min="9728" max="9728" width="51.44140625" style="184" customWidth="1"/>
    <col min="9729" max="9729" width="16.109375" style="184" customWidth="1"/>
    <col min="9730" max="9979" width="9.33203125" style="184"/>
    <col min="9980" max="9980" width="12.33203125" style="184" customWidth="1"/>
    <col min="9981" max="9981" width="11.6640625" style="184" customWidth="1"/>
    <col min="9982" max="9982" width="12.5546875" style="184" customWidth="1"/>
    <col min="9983" max="9983" width="22.6640625" style="184" customWidth="1"/>
    <col min="9984" max="9984" width="51.44140625" style="184" customWidth="1"/>
    <col min="9985" max="9985" width="16.109375" style="184" customWidth="1"/>
    <col min="9986" max="10235" width="9.33203125" style="184"/>
    <col min="10236" max="10236" width="12.33203125" style="184" customWidth="1"/>
    <col min="10237" max="10237" width="11.6640625" style="184" customWidth="1"/>
    <col min="10238" max="10238" width="12.5546875" style="184" customWidth="1"/>
    <col min="10239" max="10239" width="22.6640625" style="184" customWidth="1"/>
    <col min="10240" max="10240" width="51.44140625" style="184" customWidth="1"/>
    <col min="10241" max="10241" width="16.109375" style="184" customWidth="1"/>
    <col min="10242" max="10491" width="9.33203125" style="184"/>
    <col min="10492" max="10492" width="12.33203125" style="184" customWidth="1"/>
    <col min="10493" max="10493" width="11.6640625" style="184" customWidth="1"/>
    <col min="10494" max="10494" width="12.5546875" style="184" customWidth="1"/>
    <col min="10495" max="10495" width="22.6640625" style="184" customWidth="1"/>
    <col min="10496" max="10496" width="51.44140625" style="184" customWidth="1"/>
    <col min="10497" max="10497" width="16.109375" style="184" customWidth="1"/>
    <col min="10498" max="10747" width="9.33203125" style="184"/>
    <col min="10748" max="10748" width="12.33203125" style="184" customWidth="1"/>
    <col min="10749" max="10749" width="11.6640625" style="184" customWidth="1"/>
    <col min="10750" max="10750" width="12.5546875" style="184" customWidth="1"/>
    <col min="10751" max="10751" width="22.6640625" style="184" customWidth="1"/>
    <col min="10752" max="10752" width="51.44140625" style="184" customWidth="1"/>
    <col min="10753" max="10753" width="16.109375" style="184" customWidth="1"/>
    <col min="10754" max="11003" width="9.33203125" style="184"/>
    <col min="11004" max="11004" width="12.33203125" style="184" customWidth="1"/>
    <col min="11005" max="11005" width="11.6640625" style="184" customWidth="1"/>
    <col min="11006" max="11006" width="12.5546875" style="184" customWidth="1"/>
    <col min="11007" max="11007" width="22.6640625" style="184" customWidth="1"/>
    <col min="11008" max="11008" width="51.44140625" style="184" customWidth="1"/>
    <col min="11009" max="11009" width="16.109375" style="184" customWidth="1"/>
    <col min="11010" max="11259" width="9.33203125" style="184"/>
    <col min="11260" max="11260" width="12.33203125" style="184" customWidth="1"/>
    <col min="11261" max="11261" width="11.6640625" style="184" customWidth="1"/>
    <col min="11262" max="11262" width="12.5546875" style="184" customWidth="1"/>
    <col min="11263" max="11263" width="22.6640625" style="184" customWidth="1"/>
    <col min="11264" max="11264" width="51.44140625" style="184" customWidth="1"/>
    <col min="11265" max="11265" width="16.109375" style="184" customWidth="1"/>
    <col min="11266" max="11515" width="9.33203125" style="184"/>
    <col min="11516" max="11516" width="12.33203125" style="184" customWidth="1"/>
    <col min="11517" max="11517" width="11.6640625" style="184" customWidth="1"/>
    <col min="11518" max="11518" width="12.5546875" style="184" customWidth="1"/>
    <col min="11519" max="11519" width="22.6640625" style="184" customWidth="1"/>
    <col min="11520" max="11520" width="51.44140625" style="184" customWidth="1"/>
    <col min="11521" max="11521" width="16.109375" style="184" customWidth="1"/>
    <col min="11522" max="11771" width="9.33203125" style="184"/>
    <col min="11772" max="11772" width="12.33203125" style="184" customWidth="1"/>
    <col min="11773" max="11773" width="11.6640625" style="184" customWidth="1"/>
    <col min="11774" max="11774" width="12.5546875" style="184" customWidth="1"/>
    <col min="11775" max="11775" width="22.6640625" style="184" customWidth="1"/>
    <col min="11776" max="11776" width="51.44140625" style="184" customWidth="1"/>
    <col min="11777" max="11777" width="16.109375" style="184" customWidth="1"/>
    <col min="11778" max="12027" width="9.33203125" style="184"/>
    <col min="12028" max="12028" width="12.33203125" style="184" customWidth="1"/>
    <col min="12029" max="12029" width="11.6640625" style="184" customWidth="1"/>
    <col min="12030" max="12030" width="12.5546875" style="184" customWidth="1"/>
    <col min="12031" max="12031" width="22.6640625" style="184" customWidth="1"/>
    <col min="12032" max="12032" width="51.44140625" style="184" customWidth="1"/>
    <col min="12033" max="12033" width="16.109375" style="184" customWidth="1"/>
    <col min="12034" max="12283" width="9.33203125" style="184"/>
    <col min="12284" max="12284" width="12.33203125" style="184" customWidth="1"/>
    <col min="12285" max="12285" width="11.6640625" style="184" customWidth="1"/>
    <col min="12286" max="12286" width="12.5546875" style="184" customWidth="1"/>
    <col min="12287" max="12287" width="22.6640625" style="184" customWidth="1"/>
    <col min="12288" max="12288" width="51.44140625" style="184" customWidth="1"/>
    <col min="12289" max="12289" width="16.109375" style="184" customWidth="1"/>
    <col min="12290" max="12539" width="9.33203125" style="184"/>
    <col min="12540" max="12540" width="12.33203125" style="184" customWidth="1"/>
    <col min="12541" max="12541" width="11.6640625" style="184" customWidth="1"/>
    <col min="12542" max="12542" width="12.5546875" style="184" customWidth="1"/>
    <col min="12543" max="12543" width="22.6640625" style="184" customWidth="1"/>
    <col min="12544" max="12544" width="51.44140625" style="184" customWidth="1"/>
    <col min="12545" max="12545" width="16.109375" style="184" customWidth="1"/>
    <col min="12546" max="12795" width="9.33203125" style="184"/>
    <col min="12796" max="12796" width="12.33203125" style="184" customWidth="1"/>
    <col min="12797" max="12797" width="11.6640625" style="184" customWidth="1"/>
    <col min="12798" max="12798" width="12.5546875" style="184" customWidth="1"/>
    <col min="12799" max="12799" width="22.6640625" style="184" customWidth="1"/>
    <col min="12800" max="12800" width="51.44140625" style="184" customWidth="1"/>
    <col min="12801" max="12801" width="16.109375" style="184" customWidth="1"/>
    <col min="12802" max="13051" width="9.33203125" style="184"/>
    <col min="13052" max="13052" width="12.33203125" style="184" customWidth="1"/>
    <col min="13053" max="13053" width="11.6640625" style="184" customWidth="1"/>
    <col min="13054" max="13054" width="12.5546875" style="184" customWidth="1"/>
    <col min="13055" max="13055" width="22.6640625" style="184" customWidth="1"/>
    <col min="13056" max="13056" width="51.44140625" style="184" customWidth="1"/>
    <col min="13057" max="13057" width="16.109375" style="184" customWidth="1"/>
    <col min="13058" max="13307" width="9.33203125" style="184"/>
    <col min="13308" max="13308" width="12.33203125" style="184" customWidth="1"/>
    <col min="13309" max="13309" width="11.6640625" style="184" customWidth="1"/>
    <col min="13310" max="13310" width="12.5546875" style="184" customWidth="1"/>
    <col min="13311" max="13311" width="22.6640625" style="184" customWidth="1"/>
    <col min="13312" max="13312" width="51.44140625" style="184" customWidth="1"/>
    <col min="13313" max="13313" width="16.109375" style="184" customWidth="1"/>
    <col min="13314" max="13563" width="9.33203125" style="184"/>
    <col min="13564" max="13564" width="12.33203125" style="184" customWidth="1"/>
    <col min="13565" max="13565" width="11.6640625" style="184" customWidth="1"/>
    <col min="13566" max="13566" width="12.5546875" style="184" customWidth="1"/>
    <col min="13567" max="13567" width="22.6640625" style="184" customWidth="1"/>
    <col min="13568" max="13568" width="51.44140625" style="184" customWidth="1"/>
    <col min="13569" max="13569" width="16.109375" style="184" customWidth="1"/>
    <col min="13570" max="13819" width="9.33203125" style="184"/>
    <col min="13820" max="13820" width="12.33203125" style="184" customWidth="1"/>
    <col min="13821" max="13821" width="11.6640625" style="184" customWidth="1"/>
    <col min="13822" max="13822" width="12.5546875" style="184" customWidth="1"/>
    <col min="13823" max="13823" width="22.6640625" style="184" customWidth="1"/>
    <col min="13824" max="13824" width="51.44140625" style="184" customWidth="1"/>
    <col min="13825" max="13825" width="16.109375" style="184" customWidth="1"/>
    <col min="13826" max="14075" width="9.33203125" style="184"/>
    <col min="14076" max="14076" width="12.33203125" style="184" customWidth="1"/>
    <col min="14077" max="14077" width="11.6640625" style="184" customWidth="1"/>
    <col min="14078" max="14078" width="12.5546875" style="184" customWidth="1"/>
    <col min="14079" max="14079" width="22.6640625" style="184" customWidth="1"/>
    <col min="14080" max="14080" width="51.44140625" style="184" customWidth="1"/>
    <col min="14081" max="14081" width="16.109375" style="184" customWidth="1"/>
    <col min="14082" max="14331" width="9.33203125" style="184"/>
    <col min="14332" max="14332" width="12.33203125" style="184" customWidth="1"/>
    <col min="14333" max="14333" width="11.6640625" style="184" customWidth="1"/>
    <col min="14334" max="14334" width="12.5546875" style="184" customWidth="1"/>
    <col min="14335" max="14335" width="22.6640625" style="184" customWidth="1"/>
    <col min="14336" max="14336" width="51.44140625" style="184" customWidth="1"/>
    <col min="14337" max="14337" width="16.109375" style="184" customWidth="1"/>
    <col min="14338" max="14587" width="9.33203125" style="184"/>
    <col min="14588" max="14588" width="12.33203125" style="184" customWidth="1"/>
    <col min="14589" max="14589" width="11.6640625" style="184" customWidth="1"/>
    <col min="14590" max="14590" width="12.5546875" style="184" customWidth="1"/>
    <col min="14591" max="14591" width="22.6640625" style="184" customWidth="1"/>
    <col min="14592" max="14592" width="51.44140625" style="184" customWidth="1"/>
    <col min="14593" max="14593" width="16.109375" style="184" customWidth="1"/>
    <col min="14594" max="14843" width="9.33203125" style="184"/>
    <col min="14844" max="14844" width="12.33203125" style="184" customWidth="1"/>
    <col min="14845" max="14845" width="11.6640625" style="184" customWidth="1"/>
    <col min="14846" max="14846" width="12.5546875" style="184" customWidth="1"/>
    <col min="14847" max="14847" width="22.6640625" style="184" customWidth="1"/>
    <col min="14848" max="14848" width="51.44140625" style="184" customWidth="1"/>
    <col min="14849" max="14849" width="16.109375" style="184" customWidth="1"/>
    <col min="14850" max="15099" width="9.33203125" style="184"/>
    <col min="15100" max="15100" width="12.33203125" style="184" customWidth="1"/>
    <col min="15101" max="15101" width="11.6640625" style="184" customWidth="1"/>
    <col min="15102" max="15102" width="12.5546875" style="184" customWidth="1"/>
    <col min="15103" max="15103" width="22.6640625" style="184" customWidth="1"/>
    <col min="15104" max="15104" width="51.44140625" style="184" customWidth="1"/>
    <col min="15105" max="15105" width="16.109375" style="184" customWidth="1"/>
    <col min="15106" max="15355" width="9.33203125" style="184"/>
    <col min="15356" max="15356" width="12.33203125" style="184" customWidth="1"/>
    <col min="15357" max="15357" width="11.6640625" style="184" customWidth="1"/>
    <col min="15358" max="15358" width="12.5546875" style="184" customWidth="1"/>
    <col min="15359" max="15359" width="22.6640625" style="184" customWidth="1"/>
    <col min="15360" max="15360" width="51.44140625" style="184" customWidth="1"/>
    <col min="15361" max="15361" width="16.109375" style="184" customWidth="1"/>
    <col min="15362" max="15611" width="9.33203125" style="184"/>
    <col min="15612" max="15612" width="12.33203125" style="184" customWidth="1"/>
    <col min="15613" max="15613" width="11.6640625" style="184" customWidth="1"/>
    <col min="15614" max="15614" width="12.5546875" style="184" customWidth="1"/>
    <col min="15615" max="15615" width="22.6640625" style="184" customWidth="1"/>
    <col min="15616" max="15616" width="51.44140625" style="184" customWidth="1"/>
    <col min="15617" max="15617" width="16.109375" style="184" customWidth="1"/>
    <col min="15618" max="15867" width="9.33203125" style="184"/>
    <col min="15868" max="15868" width="12.33203125" style="184" customWidth="1"/>
    <col min="15869" max="15869" width="11.6640625" style="184" customWidth="1"/>
    <col min="15870" max="15870" width="12.5546875" style="184" customWidth="1"/>
    <col min="15871" max="15871" width="22.6640625" style="184" customWidth="1"/>
    <col min="15872" max="15872" width="51.44140625" style="184" customWidth="1"/>
    <col min="15873" max="15873" width="16.109375" style="184" customWidth="1"/>
    <col min="15874" max="16123" width="9.33203125" style="184"/>
    <col min="16124" max="16124" width="12.33203125" style="184" customWidth="1"/>
    <col min="16125" max="16125" width="11.6640625" style="184" customWidth="1"/>
    <col min="16126" max="16126" width="12.5546875" style="184" customWidth="1"/>
    <col min="16127" max="16127" width="22.6640625" style="184" customWidth="1"/>
    <col min="16128" max="16128" width="51.44140625" style="184" customWidth="1"/>
    <col min="16129" max="16129" width="16.109375" style="184" customWidth="1"/>
    <col min="16130" max="16384" width="9.33203125" style="184"/>
  </cols>
  <sheetData>
    <row r="1" spans="1:6" ht="15.6" x14ac:dyDescent="0.25">
      <c r="E1" s="609" t="s">
        <v>659</v>
      </c>
      <c r="F1" s="609"/>
    </row>
    <row r="2" spans="1:6" ht="15.6" x14ac:dyDescent="0.25">
      <c r="E2" s="610" t="s">
        <v>660</v>
      </c>
      <c r="F2" s="610"/>
    </row>
    <row r="3" spans="1:6" ht="15.6" x14ac:dyDescent="0.25">
      <c r="E3" s="611" t="s">
        <v>574</v>
      </c>
      <c r="F3" s="610"/>
    </row>
    <row r="4" spans="1:6" ht="15.6" x14ac:dyDescent="0.25">
      <c r="E4" s="612" t="s">
        <v>664</v>
      </c>
      <c r="F4" s="610"/>
    </row>
    <row r="5" spans="1:6" ht="15.6" x14ac:dyDescent="0.25">
      <c r="E5" s="610" t="s">
        <v>663</v>
      </c>
      <c r="F5" s="610"/>
    </row>
    <row r="6" spans="1:6" ht="15.6" x14ac:dyDescent="0.25">
      <c r="E6" s="610"/>
      <c r="F6" s="610"/>
    </row>
    <row r="7" spans="1:6" ht="15.6" x14ac:dyDescent="0.25">
      <c r="E7" s="330" t="s">
        <v>661</v>
      </c>
      <c r="F7" s="610"/>
    </row>
    <row r="8" spans="1:6" ht="15.6" x14ac:dyDescent="0.25">
      <c r="E8" s="330" t="s">
        <v>294</v>
      </c>
      <c r="F8" s="610"/>
    </row>
    <row r="9" spans="1:6" ht="15.6" x14ac:dyDescent="0.3">
      <c r="E9" s="186" t="s">
        <v>295</v>
      </c>
      <c r="F9" s="610"/>
    </row>
    <row r="10" spans="1:6" ht="15.6" x14ac:dyDescent="0.3">
      <c r="E10" s="186" t="s">
        <v>296</v>
      </c>
      <c r="F10" s="610"/>
    </row>
    <row r="11" spans="1:6" ht="15.6" x14ac:dyDescent="0.3">
      <c r="E11" s="6" t="s">
        <v>329</v>
      </c>
      <c r="F11" s="610"/>
    </row>
    <row r="12" spans="1:6" ht="15.6" x14ac:dyDescent="0.3">
      <c r="E12" s="189" t="s">
        <v>286</v>
      </c>
      <c r="F12" s="610"/>
    </row>
    <row r="13" spans="1:6" ht="15.6" x14ac:dyDescent="0.25">
      <c r="E13" s="331" t="s">
        <v>662</v>
      </c>
      <c r="F13" s="610"/>
    </row>
    <row r="14" spans="1:6" ht="15.6" x14ac:dyDescent="0.25">
      <c r="E14" s="610"/>
      <c r="F14" s="610"/>
    </row>
    <row r="15" spans="1:6" ht="15.6" x14ac:dyDescent="0.25">
      <c r="E15" s="602"/>
      <c r="F15" s="610"/>
    </row>
    <row r="16" spans="1:6" ht="31.2" customHeight="1" x14ac:dyDescent="0.3">
      <c r="A16" s="885" t="s">
        <v>575</v>
      </c>
      <c r="B16" s="885"/>
      <c r="C16" s="885"/>
      <c r="D16" s="885"/>
      <c r="E16" s="885"/>
      <c r="F16" s="885"/>
    </row>
    <row r="17" spans="1:9" ht="29.7" customHeight="1" thickBot="1" x14ac:dyDescent="0.3">
      <c r="A17" s="613"/>
      <c r="B17" s="613"/>
      <c r="C17" s="613"/>
      <c r="D17" s="613"/>
      <c r="E17" s="613"/>
      <c r="F17" s="613" t="s">
        <v>576</v>
      </c>
    </row>
    <row r="18" spans="1:9" ht="29.7" customHeight="1" x14ac:dyDescent="0.25">
      <c r="A18" s="886" t="s">
        <v>577</v>
      </c>
      <c r="B18" s="889" t="s">
        <v>578</v>
      </c>
      <c r="C18" s="889" t="s">
        <v>298</v>
      </c>
      <c r="D18" s="889" t="s">
        <v>579</v>
      </c>
      <c r="E18" s="892" t="s">
        <v>580</v>
      </c>
      <c r="F18" s="895" t="s">
        <v>581</v>
      </c>
    </row>
    <row r="19" spans="1:9" ht="32.700000000000003" customHeight="1" x14ac:dyDescent="0.25">
      <c r="A19" s="887"/>
      <c r="B19" s="890"/>
      <c r="C19" s="890"/>
      <c r="D19" s="890"/>
      <c r="E19" s="893"/>
      <c r="F19" s="896"/>
    </row>
    <row r="20" spans="1:9" ht="32.700000000000003" customHeight="1" x14ac:dyDescent="0.25">
      <c r="A20" s="887"/>
      <c r="B20" s="890"/>
      <c r="C20" s="890"/>
      <c r="D20" s="890"/>
      <c r="E20" s="893"/>
      <c r="F20" s="896"/>
      <c r="I20" s="614"/>
    </row>
    <row r="21" spans="1:9" ht="56.4" customHeight="1" thickBot="1" x14ac:dyDescent="0.3">
      <c r="A21" s="888"/>
      <c r="B21" s="891"/>
      <c r="C21" s="891"/>
      <c r="D21" s="891"/>
      <c r="E21" s="894"/>
      <c r="F21" s="897"/>
    </row>
    <row r="22" spans="1:9" s="199" customFormat="1" ht="23.4" customHeight="1" thickBot="1" x14ac:dyDescent="0.35">
      <c r="A22" s="615" t="s">
        <v>307</v>
      </c>
      <c r="B22" s="616" t="s">
        <v>308</v>
      </c>
      <c r="C22" s="616" t="s">
        <v>309</v>
      </c>
      <c r="D22" s="616" t="s">
        <v>560</v>
      </c>
      <c r="E22" s="617">
        <v>5</v>
      </c>
      <c r="F22" s="618">
        <v>6</v>
      </c>
    </row>
    <row r="23" spans="1:9" s="324" customFormat="1" ht="39" customHeight="1" thickBot="1" x14ac:dyDescent="0.45">
      <c r="A23" s="619">
        <v>1200000</v>
      </c>
      <c r="B23" s="620"/>
      <c r="C23" s="621"/>
      <c r="D23" s="863" t="s">
        <v>582</v>
      </c>
      <c r="E23" s="864"/>
      <c r="F23" s="622">
        <f>F24</f>
        <v>5029832</v>
      </c>
    </row>
    <row r="24" spans="1:9" s="627" customFormat="1" ht="37.950000000000003" customHeight="1" thickBot="1" x14ac:dyDescent="0.45">
      <c r="A24" s="623">
        <v>1210000</v>
      </c>
      <c r="B24" s="624"/>
      <c r="C24" s="625"/>
      <c r="D24" s="865" t="s">
        <v>582</v>
      </c>
      <c r="E24" s="866"/>
      <c r="F24" s="626">
        <f>F25+F26+F27+F28+F29+F30+F31+F32+F33+F34+F35+F36++F37+F38+F39+F40+F41+F42+F43+F44+F45</f>
        <v>5029832</v>
      </c>
    </row>
    <row r="25" spans="1:9" s="627" customFormat="1" ht="51.6" customHeight="1" x14ac:dyDescent="0.4">
      <c r="A25" s="867">
        <v>1216030</v>
      </c>
      <c r="B25" s="869">
        <v>6030</v>
      </c>
      <c r="C25" s="871" t="s">
        <v>29</v>
      </c>
      <c r="D25" s="873" t="s">
        <v>30</v>
      </c>
      <c r="E25" s="628" t="s">
        <v>583</v>
      </c>
      <c r="F25" s="629">
        <v>251018</v>
      </c>
    </row>
    <row r="26" spans="1:9" s="627" customFormat="1" ht="55.2" customHeight="1" x14ac:dyDescent="0.4">
      <c r="A26" s="867"/>
      <c r="B26" s="869"/>
      <c r="C26" s="871"/>
      <c r="D26" s="874"/>
      <c r="E26" s="630" t="s">
        <v>584</v>
      </c>
      <c r="F26" s="631">
        <v>119413</v>
      </c>
    </row>
    <row r="27" spans="1:9" s="627" customFormat="1" ht="53.4" customHeight="1" x14ac:dyDescent="0.4">
      <c r="A27" s="867"/>
      <c r="B27" s="869"/>
      <c r="C27" s="871"/>
      <c r="D27" s="874"/>
      <c r="E27" s="630" t="s">
        <v>585</v>
      </c>
      <c r="F27" s="631">
        <v>3205742</v>
      </c>
    </row>
    <row r="28" spans="1:9" s="627" customFormat="1" ht="51.6" customHeight="1" x14ac:dyDescent="0.4">
      <c r="A28" s="867"/>
      <c r="B28" s="869"/>
      <c r="C28" s="871"/>
      <c r="D28" s="874"/>
      <c r="E28" s="630" t="s">
        <v>586</v>
      </c>
      <c r="F28" s="631">
        <v>371945</v>
      </c>
    </row>
    <row r="29" spans="1:9" s="627" customFormat="1" ht="52.2" customHeight="1" x14ac:dyDescent="0.4">
      <c r="A29" s="867"/>
      <c r="B29" s="869"/>
      <c r="C29" s="871"/>
      <c r="D29" s="874"/>
      <c r="E29" s="630" t="s">
        <v>587</v>
      </c>
      <c r="F29" s="631">
        <v>182801</v>
      </c>
    </row>
    <row r="30" spans="1:9" s="627" customFormat="1" ht="46.2" customHeight="1" x14ac:dyDescent="0.4">
      <c r="A30" s="867"/>
      <c r="B30" s="869"/>
      <c r="C30" s="871"/>
      <c r="D30" s="874"/>
      <c r="E30" s="630" t="s">
        <v>588</v>
      </c>
      <c r="F30" s="631">
        <v>58140</v>
      </c>
    </row>
    <row r="31" spans="1:9" s="627" customFormat="1" ht="54" customHeight="1" x14ac:dyDescent="0.4">
      <c r="A31" s="867"/>
      <c r="B31" s="869"/>
      <c r="C31" s="871"/>
      <c r="D31" s="874"/>
      <c r="E31" s="632" t="s">
        <v>589</v>
      </c>
      <c r="F31" s="631">
        <v>58508</v>
      </c>
    </row>
    <row r="32" spans="1:9" s="627" customFormat="1" ht="54" customHeight="1" x14ac:dyDescent="0.4">
      <c r="A32" s="867"/>
      <c r="B32" s="869"/>
      <c r="C32" s="871"/>
      <c r="D32" s="874"/>
      <c r="E32" s="630" t="s">
        <v>590</v>
      </c>
      <c r="F32" s="631">
        <v>100996</v>
      </c>
    </row>
    <row r="33" spans="1:11" s="627" customFormat="1" ht="54" customHeight="1" x14ac:dyDescent="0.4">
      <c r="A33" s="867"/>
      <c r="B33" s="869"/>
      <c r="C33" s="871"/>
      <c r="D33" s="874"/>
      <c r="E33" s="630" t="s">
        <v>591</v>
      </c>
      <c r="F33" s="631">
        <v>137807</v>
      </c>
    </row>
    <row r="34" spans="1:11" s="627" customFormat="1" ht="54" customHeight="1" x14ac:dyDescent="0.4">
      <c r="A34" s="867"/>
      <c r="B34" s="869"/>
      <c r="C34" s="871"/>
      <c r="D34" s="874"/>
      <c r="E34" s="630" t="s">
        <v>592</v>
      </c>
      <c r="F34" s="631">
        <v>19357</v>
      </c>
    </row>
    <row r="35" spans="1:11" s="627" customFormat="1" ht="54" customHeight="1" x14ac:dyDescent="0.4">
      <c r="A35" s="867"/>
      <c r="B35" s="869"/>
      <c r="C35" s="871"/>
      <c r="D35" s="874"/>
      <c r="E35" s="630" t="s">
        <v>593</v>
      </c>
      <c r="F35" s="631">
        <v>28405</v>
      </c>
    </row>
    <row r="36" spans="1:11" s="627" customFormat="1" ht="48" customHeight="1" x14ac:dyDescent="0.4">
      <c r="A36" s="867"/>
      <c r="B36" s="869"/>
      <c r="C36" s="871"/>
      <c r="D36" s="874"/>
      <c r="E36" s="632" t="s">
        <v>594</v>
      </c>
      <c r="F36" s="631">
        <v>1830</v>
      </c>
    </row>
    <row r="37" spans="1:11" s="627" customFormat="1" ht="60.6" customHeight="1" x14ac:dyDescent="0.4">
      <c r="A37" s="867"/>
      <c r="B37" s="869"/>
      <c r="C37" s="871"/>
      <c r="D37" s="874"/>
      <c r="E37" s="630" t="s">
        <v>595</v>
      </c>
      <c r="F37" s="631">
        <v>42673</v>
      </c>
    </row>
    <row r="38" spans="1:11" s="627" customFormat="1" ht="52.2" customHeight="1" thickBot="1" x14ac:dyDescent="0.45">
      <c r="A38" s="868"/>
      <c r="B38" s="870"/>
      <c r="C38" s="872"/>
      <c r="D38" s="875"/>
      <c r="E38" s="632" t="s">
        <v>596</v>
      </c>
      <c r="F38" s="633">
        <v>103352</v>
      </c>
    </row>
    <row r="39" spans="1:11" s="627" customFormat="1" ht="52.2" customHeight="1" x14ac:dyDescent="0.4">
      <c r="A39" s="876" t="s">
        <v>139</v>
      </c>
      <c r="B39" s="878">
        <v>7461</v>
      </c>
      <c r="C39" s="880" t="s">
        <v>141</v>
      </c>
      <c r="D39" s="881" t="s">
        <v>597</v>
      </c>
      <c r="E39" s="634" t="s">
        <v>598</v>
      </c>
      <c r="F39" s="635">
        <v>199246</v>
      </c>
    </row>
    <row r="40" spans="1:11" s="324" customFormat="1" ht="62.4" customHeight="1" x14ac:dyDescent="0.4">
      <c r="A40" s="877"/>
      <c r="B40" s="879"/>
      <c r="C40" s="871"/>
      <c r="D40" s="874"/>
      <c r="E40" s="634" t="s">
        <v>599</v>
      </c>
      <c r="F40" s="635">
        <v>2590</v>
      </c>
    </row>
    <row r="41" spans="1:11" s="324" customFormat="1" ht="65.400000000000006" customHeight="1" x14ac:dyDescent="0.4">
      <c r="A41" s="877"/>
      <c r="B41" s="879"/>
      <c r="C41" s="871"/>
      <c r="D41" s="874"/>
      <c r="E41" s="634" t="s">
        <v>600</v>
      </c>
      <c r="F41" s="636">
        <v>116519</v>
      </c>
    </row>
    <row r="42" spans="1:11" s="324" customFormat="1" ht="48.6" customHeight="1" x14ac:dyDescent="0.4">
      <c r="A42" s="877"/>
      <c r="B42" s="879"/>
      <c r="C42" s="871"/>
      <c r="D42" s="874"/>
      <c r="E42" s="634" t="s">
        <v>601</v>
      </c>
      <c r="F42" s="636">
        <v>12947</v>
      </c>
    </row>
    <row r="43" spans="1:11" s="324" customFormat="1" ht="73.2" customHeight="1" x14ac:dyDescent="0.4">
      <c r="A43" s="877"/>
      <c r="B43" s="879"/>
      <c r="C43" s="871"/>
      <c r="D43" s="874"/>
      <c r="E43" s="634" t="s">
        <v>602</v>
      </c>
      <c r="F43" s="636">
        <v>6706</v>
      </c>
    </row>
    <row r="44" spans="1:11" s="324" customFormat="1" ht="57" customHeight="1" x14ac:dyDescent="0.4">
      <c r="A44" s="877"/>
      <c r="B44" s="879"/>
      <c r="C44" s="871"/>
      <c r="D44" s="874"/>
      <c r="E44" s="634" t="s">
        <v>603</v>
      </c>
      <c r="F44" s="635">
        <v>6601</v>
      </c>
    </row>
    <row r="45" spans="1:11" s="324" customFormat="1" ht="53.4" customHeight="1" x14ac:dyDescent="0.4">
      <c r="A45" s="877"/>
      <c r="B45" s="879"/>
      <c r="C45" s="871"/>
      <c r="D45" s="874"/>
      <c r="E45" s="637" t="s">
        <v>604</v>
      </c>
      <c r="F45" s="638">
        <v>3236</v>
      </c>
    </row>
    <row r="46" spans="1:11" s="324" customFormat="1" ht="28.95" customHeight="1" thickBot="1" x14ac:dyDescent="0.45">
      <c r="A46" s="882" t="s">
        <v>605</v>
      </c>
      <c r="B46" s="883"/>
      <c r="C46" s="883"/>
      <c r="D46" s="884"/>
      <c r="E46" s="639"/>
      <c r="F46" s="640">
        <f>F23</f>
        <v>5029832</v>
      </c>
    </row>
    <row r="47" spans="1:11" s="324" customFormat="1" ht="28.95" customHeight="1" x14ac:dyDescent="0.4">
      <c r="A47" s="641"/>
      <c r="B47" s="642"/>
      <c r="C47" s="643"/>
      <c r="D47" s="644"/>
      <c r="E47" s="645"/>
      <c r="F47" s="646"/>
      <c r="H47" s="647"/>
    </row>
    <row r="48" spans="1:11" s="648" customFormat="1" ht="42.6" customHeight="1" x14ac:dyDescent="0.35">
      <c r="A48" s="356" t="s">
        <v>440</v>
      </c>
      <c r="C48" s="356"/>
      <c r="D48" s="356"/>
      <c r="E48" s="862" t="s">
        <v>539</v>
      </c>
      <c r="F48" s="862"/>
      <c r="G48" s="649"/>
      <c r="I48" s="184"/>
      <c r="J48" s="650"/>
      <c r="K48" s="651"/>
    </row>
    <row r="49" spans="1:9" s="658" customFormat="1" ht="17.399999999999999" customHeight="1" x14ac:dyDescent="0.3">
      <c r="A49" s="652"/>
      <c r="B49" s="653"/>
      <c r="C49" s="654"/>
      <c r="D49" s="655"/>
      <c r="E49" s="656"/>
      <c r="F49" s="657"/>
      <c r="I49" s="184"/>
    </row>
    <row r="51" spans="1:9" ht="15.6" customHeight="1" x14ac:dyDescent="0.3">
      <c r="A51" s="656"/>
      <c r="C51" s="653"/>
      <c r="D51" s="656"/>
    </row>
    <row r="52" spans="1:9" ht="15.6" customHeight="1" x14ac:dyDescent="0.3">
      <c r="A52" s="656"/>
      <c r="C52" s="656"/>
      <c r="D52" s="657"/>
      <c r="E52" s="660"/>
    </row>
    <row r="53" spans="1:9" ht="13.2" customHeight="1" x14ac:dyDescent="0.25"/>
    <row r="54" spans="1:9" ht="13.2" customHeight="1" x14ac:dyDescent="0.25"/>
    <row r="55" spans="1:9" ht="13.2" customHeight="1" x14ac:dyDescent="0.25"/>
    <row r="56" spans="1:9" ht="13.2" customHeight="1" x14ac:dyDescent="0.25"/>
    <row r="57" spans="1:9" ht="13.95" customHeight="1" x14ac:dyDescent="0.25"/>
  </sheetData>
  <mergeCells count="19">
    <mergeCell ref="A16:F16"/>
    <mergeCell ref="A18:A21"/>
    <mergeCell ref="B18:B21"/>
    <mergeCell ref="C18:C21"/>
    <mergeCell ref="D18:D21"/>
    <mergeCell ref="E18:E21"/>
    <mergeCell ref="F18:F21"/>
    <mergeCell ref="E48:F48"/>
    <mergeCell ref="D23:E23"/>
    <mergeCell ref="D24:E24"/>
    <mergeCell ref="A25:A38"/>
    <mergeCell ref="B25:B38"/>
    <mergeCell ref="C25:C38"/>
    <mergeCell ref="D25:D38"/>
    <mergeCell ref="A39:A45"/>
    <mergeCell ref="B39:B45"/>
    <mergeCell ref="C39:C45"/>
    <mergeCell ref="D39:D45"/>
    <mergeCell ref="A46:D46"/>
  </mergeCells>
  <pageMargins left="1.1811023622047245" right="0.39370078740157483" top="0.78740157480314965" bottom="0.78740157480314965" header="0.31496062992125984" footer="0.31496062992125984"/>
  <pageSetup paperSize="9" scale="58" orientation="portrait" r:id="rId1"/>
  <rowBreaks count="1" manualBreakCount="1">
    <brk id="3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12</vt:i4>
      </vt:variant>
    </vt:vector>
  </HeadingPairs>
  <TitlesOfParts>
    <vt:vector size="19" baseType="lpstr">
      <vt:lpstr>дод 1 Доходи</vt:lpstr>
      <vt:lpstr>дод 2 Джерела</vt:lpstr>
      <vt:lpstr>дод 3 Видатки</vt:lpstr>
      <vt:lpstr>дод 5 Трансферти</vt:lpstr>
      <vt:lpstr>дод 7 Програми</vt:lpstr>
      <vt:lpstr>дод 8 Бюджет розвитку</vt:lpstr>
      <vt:lpstr>дод 12 Дороги</vt:lpstr>
      <vt:lpstr>'дод 1 Доходи'!Заголовки_для_печати</vt:lpstr>
      <vt:lpstr>'дод 12 Дороги'!Заголовки_для_печати</vt:lpstr>
      <vt:lpstr>'дод 3 Видатки'!Заголовки_для_печати</vt:lpstr>
      <vt:lpstr>'дод 7 Програми'!Заголовки_для_печати</vt:lpstr>
      <vt:lpstr>'дод 8 Бюджет розвитку'!Заголовки_для_печати</vt:lpstr>
      <vt:lpstr>'дод 1 Доходи'!Область_печати</vt:lpstr>
      <vt:lpstr>'дод 12 Дороги'!Область_печати</vt:lpstr>
      <vt:lpstr>'дод 2 Джерела'!Область_печати</vt:lpstr>
      <vt:lpstr>'дод 3 Видатки'!Область_печати</vt:lpstr>
      <vt:lpstr>'дод 5 Трансферти'!Область_печати</vt:lpstr>
      <vt:lpstr>'дод 7 Програми'!Область_печати</vt:lpstr>
      <vt:lpstr>'дод 8 Бюджет розвитку'!Область_печати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Татьяна</cp:lastModifiedBy>
  <cp:lastPrinted>2024-05-24T07:31:11Z</cp:lastPrinted>
  <dcterms:created xsi:type="dcterms:W3CDTF">2021-12-17T13:26:15Z</dcterms:created>
  <dcterms:modified xsi:type="dcterms:W3CDTF">2024-05-24T11:28:53Z</dcterms:modified>
</cp:coreProperties>
</file>