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-1-FIN-OTDEL\share\БЮДЖЕТ 2023 рік\РІШЕННЯ 2023 рік\10. Рішення від 16.02.2024 № 1646-VIII\сесія\Рішення від 16.02.2024 № 1646-VIII\"/>
    </mc:Choice>
  </mc:AlternateContent>
  <bookViews>
    <workbookView xWindow="-120" yWindow="-120" windowWidth="29040" windowHeight="15840" tabRatio="753" activeTab="6"/>
  </bookViews>
  <sheets>
    <sheet name="дод 1 Доходи" sheetId="25" r:id="rId1"/>
    <sheet name="дод 2 Джерела" sheetId="16" r:id="rId2"/>
    <sheet name="дод 3 Видатки" sheetId="26" r:id="rId3"/>
    <sheet name="дод 5 Трансферти" sheetId="27" r:id="rId4"/>
    <sheet name="дод 6 Програми" sheetId="11" r:id="rId5"/>
    <sheet name="дод 7 Бюджет розвитку" sheetId="28" r:id="rId6"/>
    <sheet name="дод 8 ФОНС" sheetId="33" r:id="rId7"/>
  </sheets>
  <definedNames>
    <definedName name="_xlnm.Print_Titles" localSheetId="0">'дод 1 Доходи'!$17:$20</definedName>
    <definedName name="_xlnm.Print_Titles" localSheetId="2">'дод 3 Видатки'!$18:$22</definedName>
    <definedName name="_xlnm.Print_Titles" localSheetId="4">'дод 6 Програми'!$20:$22</definedName>
    <definedName name="_xlnm.Print_Titles" localSheetId="5">'дод 7 Бюджет розвитку'!$18:$20</definedName>
    <definedName name="_xlnm.Print_Area" localSheetId="0">'дод 1 Доходи'!$A$1:$F$92</definedName>
    <definedName name="_xlnm.Print_Area" localSheetId="1">'дод 2 Джерела'!$A$1:$F$40</definedName>
    <definedName name="_xlnm.Print_Area" localSheetId="2">'дод 3 Видатки'!$A$1:$P$145</definedName>
    <definedName name="_xlnm.Print_Area" localSheetId="3">'дод 5 Трансферти'!$A$1:$D$88</definedName>
    <definedName name="_xlnm.Print_Area" localSheetId="4">'дод 6 Програми'!$A$1:$J$122</definedName>
    <definedName name="_xlnm.Print_Area" localSheetId="5">'дод 7 Бюджет розвитку'!$A$1:$K$114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4" i="28" l="1"/>
  <c r="D26" i="16" l="1"/>
  <c r="E28" i="16"/>
  <c r="D28" i="16"/>
  <c r="I103" i="11"/>
  <c r="D23" i="27"/>
  <c r="O119" i="26"/>
  <c r="D70" i="25"/>
  <c r="F38" i="33"/>
  <c r="F37" i="33" s="1"/>
  <c r="F35" i="33"/>
  <c r="F33" i="33"/>
  <c r="F31" i="33"/>
  <c r="F28" i="33"/>
  <c r="F23" i="33"/>
  <c r="F22" i="33" s="1"/>
  <c r="F27" i="33" l="1"/>
  <c r="F26" i="33" s="1"/>
  <c r="F39" i="33" s="1"/>
  <c r="J24" i="28" l="1"/>
  <c r="G113" i="11" l="1"/>
  <c r="H111" i="11"/>
  <c r="D63" i="27"/>
  <c r="F127" i="26" l="1"/>
  <c r="E129" i="26"/>
  <c r="P129" i="26" s="1"/>
  <c r="J79" i="28" l="1"/>
  <c r="I99" i="11" l="1"/>
  <c r="J96" i="28"/>
  <c r="J89" i="28"/>
  <c r="J77" i="28"/>
  <c r="J67" i="28"/>
  <c r="K67" i="28" s="1"/>
  <c r="J74" i="28"/>
  <c r="K74" i="28" s="1"/>
  <c r="J58" i="28"/>
  <c r="K58" i="28" s="1"/>
  <c r="H40" i="11" l="1"/>
  <c r="F38" i="26"/>
  <c r="O115" i="26" l="1"/>
  <c r="E26" i="16"/>
  <c r="D25" i="16" l="1"/>
  <c r="I104" i="11" l="1"/>
  <c r="I101" i="11"/>
  <c r="I95" i="11"/>
  <c r="I97" i="11"/>
  <c r="I93" i="11"/>
  <c r="H58" i="11"/>
  <c r="H45" i="11"/>
  <c r="J26" i="11"/>
  <c r="I26" i="11"/>
  <c r="H27" i="11"/>
  <c r="H26" i="11"/>
  <c r="D49" i="27" l="1"/>
  <c r="D53" i="27" s="1"/>
  <c r="E73" i="25" l="1"/>
  <c r="E68" i="25" s="1"/>
  <c r="E67" i="25" s="1"/>
  <c r="F64" i="25"/>
  <c r="E64" i="25"/>
  <c r="C64" i="25" s="1"/>
  <c r="D55" i="25"/>
  <c r="C55" i="25" s="1"/>
  <c r="D54" i="25"/>
  <c r="C54" i="25" s="1"/>
  <c r="D53" i="25"/>
  <c r="C53" i="25" s="1"/>
  <c r="D52" i="25"/>
  <c r="C52" i="25" s="1"/>
  <c r="D47" i="25"/>
  <c r="C47" i="25" s="1"/>
  <c r="D49" i="25"/>
  <c r="C49" i="25" s="1"/>
  <c r="D43" i="25"/>
  <c r="C43" i="25" s="1"/>
  <c r="C42" i="25"/>
  <c r="D42" i="25"/>
  <c r="C41" i="25"/>
  <c r="D40" i="25"/>
  <c r="D39" i="25"/>
  <c r="D38" i="25"/>
  <c r="D37" i="25"/>
  <c r="D35" i="25"/>
  <c r="D34" i="25"/>
  <c r="D33" i="25"/>
  <c r="D32" i="25"/>
  <c r="D28" i="25"/>
  <c r="C28" i="25" s="1"/>
  <c r="D27" i="25"/>
  <c r="C27" i="25" s="1"/>
  <c r="D26" i="25"/>
  <c r="C26" i="25" s="1"/>
  <c r="D23" i="25"/>
  <c r="C23" i="25" s="1"/>
  <c r="D24" i="25"/>
  <c r="C24" i="25" s="1"/>
  <c r="D25" i="25" l="1"/>
  <c r="C25" i="25" s="1"/>
  <c r="H46" i="11"/>
  <c r="N41" i="26"/>
  <c r="L41" i="26"/>
  <c r="J59" i="26"/>
  <c r="P59" i="26" s="1"/>
  <c r="K59" i="26"/>
  <c r="G53" i="11"/>
  <c r="F43" i="26" l="1"/>
  <c r="F107" i="26"/>
  <c r="O120" i="26"/>
  <c r="O117" i="26"/>
  <c r="O112" i="26"/>
  <c r="O113" i="26"/>
  <c r="O110" i="26"/>
  <c r="O26" i="26"/>
  <c r="E100" i="26"/>
  <c r="F73" i="26"/>
  <c r="F68" i="26"/>
  <c r="H44" i="26"/>
  <c r="F44" i="26"/>
  <c r="G43" i="26"/>
  <c r="F26" i="26"/>
  <c r="G25" i="26"/>
  <c r="J56" i="26"/>
  <c r="E55" i="26"/>
  <c r="P55" i="26" s="1"/>
  <c r="E56" i="26"/>
  <c r="P56" i="26" l="1"/>
  <c r="G117" i="11"/>
  <c r="H116" i="11" l="1"/>
  <c r="H115" i="11" s="1"/>
  <c r="H114" i="11" s="1"/>
  <c r="J98" i="11"/>
  <c r="G84" i="11"/>
  <c r="H83" i="11"/>
  <c r="O114" i="26"/>
  <c r="F134" i="26"/>
  <c r="F135" i="26"/>
  <c r="I97" i="28" l="1"/>
  <c r="J98" i="28"/>
  <c r="J91" i="28"/>
  <c r="J92" i="28"/>
  <c r="J80" i="28"/>
  <c r="J83" i="28"/>
  <c r="J81" i="28"/>
  <c r="J70" i="28"/>
  <c r="I69" i="28"/>
  <c r="J66" i="28"/>
  <c r="J55" i="28" l="1"/>
  <c r="J59" i="28"/>
  <c r="J53" i="28"/>
  <c r="I53" i="28"/>
  <c r="I54" i="28"/>
  <c r="J43" i="28"/>
  <c r="J27" i="28"/>
  <c r="I102" i="11"/>
  <c r="I92" i="11"/>
  <c r="G89" i="11"/>
  <c r="H86" i="11"/>
  <c r="H76" i="11"/>
  <c r="H75" i="11"/>
  <c r="H74" i="11"/>
  <c r="J37" i="11"/>
  <c r="H37" i="11"/>
  <c r="F25" i="26"/>
  <c r="G44" i="26"/>
  <c r="O118" i="26" l="1"/>
  <c r="O109" i="26"/>
  <c r="K37" i="26"/>
  <c r="J37" i="26"/>
  <c r="K30" i="26"/>
  <c r="J30" i="26"/>
  <c r="P30" i="26" s="1"/>
  <c r="G30" i="26"/>
  <c r="O29" i="26"/>
  <c r="F103" i="26"/>
  <c r="F94" i="26"/>
  <c r="F93" i="26"/>
  <c r="K85" i="26"/>
  <c r="J85" i="26"/>
  <c r="F85" i="26"/>
  <c r="H85" i="26"/>
  <c r="F37" i="26"/>
  <c r="H25" i="26"/>
  <c r="F66" i="26"/>
  <c r="D41" i="27"/>
  <c r="D40" i="27" s="1"/>
  <c r="F65" i="25"/>
  <c r="E65" i="25" s="1"/>
  <c r="D81" i="25"/>
  <c r="C65" i="25" l="1"/>
  <c r="E63" i="25"/>
  <c r="J110" i="28" l="1"/>
  <c r="J109" i="28" s="1"/>
  <c r="J108" i="28" s="1"/>
  <c r="J106" i="28"/>
  <c r="J105" i="28" s="1"/>
  <c r="I103" i="28"/>
  <c r="H101" i="28"/>
  <c r="I96" i="28"/>
  <c r="J93" i="28"/>
  <c r="I93" i="28"/>
  <c r="I91" i="28"/>
  <c r="I87" i="28"/>
  <c r="I83" i="28"/>
  <c r="I81" i="28"/>
  <c r="I79" i="28"/>
  <c r="I77" i="28"/>
  <c r="J65" i="28"/>
  <c r="J52" i="28" s="1"/>
  <c r="I63" i="28"/>
  <c r="I62" i="28"/>
  <c r="I60" i="28"/>
  <c r="I59" i="28"/>
  <c r="I55" i="28"/>
  <c r="H50" i="28"/>
  <c r="I50" i="28" s="1"/>
  <c r="J47" i="28"/>
  <c r="J46" i="28" s="1"/>
  <c r="J42" i="28"/>
  <c r="J38" i="28"/>
  <c r="J37" i="28" s="1"/>
  <c r="J34" i="28"/>
  <c r="J33" i="28" s="1"/>
  <c r="J32" i="28" s="1"/>
  <c r="J31" i="28"/>
  <c r="J23" i="28"/>
  <c r="D78" i="27"/>
  <c r="D85" i="27" s="1"/>
  <c r="D69" i="27"/>
  <c r="D67" i="27" s="1"/>
  <c r="D65" i="27"/>
  <c r="D61" i="27"/>
  <c r="D58" i="27"/>
  <c r="D43" i="27"/>
  <c r="D42" i="27" s="1"/>
  <c r="D39" i="27"/>
  <c r="D38" i="27" s="1"/>
  <c r="D36" i="27"/>
  <c r="D35" i="27"/>
  <c r="D34" i="27"/>
  <c r="D33" i="27"/>
  <c r="D32" i="27"/>
  <c r="D31" i="27"/>
  <c r="D30" i="27"/>
  <c r="D22" i="27"/>
  <c r="J141" i="26"/>
  <c r="E141" i="26"/>
  <c r="J140" i="26"/>
  <c r="E140" i="26"/>
  <c r="J139" i="26"/>
  <c r="G139" i="26"/>
  <c r="F139" i="26"/>
  <c r="E139" i="26" s="1"/>
  <c r="O138" i="26"/>
  <c r="N138" i="26"/>
  <c r="M138" i="26"/>
  <c r="L138" i="26"/>
  <c r="K138" i="26"/>
  <c r="K137" i="26" s="1"/>
  <c r="I138" i="26"/>
  <c r="I137" i="26" s="1"/>
  <c r="H138" i="26"/>
  <c r="H137" i="26" s="1"/>
  <c r="G138" i="26"/>
  <c r="G137" i="26" s="1"/>
  <c r="J136" i="26"/>
  <c r="F136" i="26"/>
  <c r="E136" i="26" s="1"/>
  <c r="E135" i="26"/>
  <c r="P135" i="26" s="1"/>
  <c r="J134" i="26"/>
  <c r="E134" i="26"/>
  <c r="O133" i="26"/>
  <c r="K133" i="26" s="1"/>
  <c r="K131" i="26" s="1"/>
  <c r="K130" i="26" s="1"/>
  <c r="G133" i="26"/>
  <c r="J132" i="26"/>
  <c r="G132" i="26"/>
  <c r="G131" i="26" s="1"/>
  <c r="G130" i="26" s="1"/>
  <c r="E132" i="26"/>
  <c r="N131" i="26"/>
  <c r="N130" i="26" s="1"/>
  <c r="M131" i="26"/>
  <c r="M130" i="26" s="1"/>
  <c r="L131" i="26"/>
  <c r="L130" i="26" s="1"/>
  <c r="I131" i="26"/>
  <c r="I130" i="26" s="1"/>
  <c r="H131" i="26"/>
  <c r="H130" i="26" s="1"/>
  <c r="J128" i="26"/>
  <c r="J127" i="26" s="1"/>
  <c r="J126" i="26" s="1"/>
  <c r="G128" i="26"/>
  <c r="G127" i="26" s="1"/>
  <c r="G126" i="26" s="1"/>
  <c r="E128" i="26"/>
  <c r="O127" i="26"/>
  <c r="O126" i="26" s="1"/>
  <c r="N127" i="26"/>
  <c r="N126" i="26" s="1"/>
  <c r="M127" i="26"/>
  <c r="M126" i="26" s="1"/>
  <c r="L127" i="26"/>
  <c r="K127" i="26"/>
  <c r="K126" i="26" s="1"/>
  <c r="I127" i="26"/>
  <c r="I126" i="26" s="1"/>
  <c r="H127" i="26"/>
  <c r="H126" i="26" s="1"/>
  <c r="F126" i="26"/>
  <c r="L126" i="26"/>
  <c r="K125" i="26"/>
  <c r="J125" i="26" s="1"/>
  <c r="P125" i="26" s="1"/>
  <c r="J124" i="26"/>
  <c r="G124" i="26"/>
  <c r="E124" i="26"/>
  <c r="E123" i="26" s="1"/>
  <c r="O123" i="26"/>
  <c r="N123" i="26"/>
  <c r="N122" i="26" s="1"/>
  <c r="M123" i="26"/>
  <c r="L123" i="26"/>
  <c r="L122" i="26" s="1"/>
  <c r="I123" i="26"/>
  <c r="I122" i="26" s="1"/>
  <c r="H123" i="26"/>
  <c r="H122" i="26" s="1"/>
  <c r="G123" i="26"/>
  <c r="F123" i="26"/>
  <c r="F122" i="26" s="1"/>
  <c r="O122" i="26"/>
  <c r="M122" i="26"/>
  <c r="G122" i="26"/>
  <c r="O121" i="26"/>
  <c r="K121" i="26" s="1"/>
  <c r="E121" i="26"/>
  <c r="K120" i="26"/>
  <c r="J120" i="26"/>
  <c r="E120" i="26"/>
  <c r="K119" i="26"/>
  <c r="E119" i="26"/>
  <c r="K118" i="26"/>
  <c r="J118" i="26"/>
  <c r="E118" i="26"/>
  <c r="K117" i="26"/>
  <c r="J117" i="26"/>
  <c r="P117" i="26" s="1"/>
  <c r="K116" i="26"/>
  <c r="J116" i="26"/>
  <c r="E116" i="26"/>
  <c r="K115" i="26"/>
  <c r="J115" i="26"/>
  <c r="E115" i="26"/>
  <c r="K114" i="26"/>
  <c r="J114" i="26"/>
  <c r="P114" i="26" s="1"/>
  <c r="K113" i="26"/>
  <c r="J113" i="26"/>
  <c r="P113" i="26" s="1"/>
  <c r="K112" i="26"/>
  <c r="J112" i="26"/>
  <c r="E112" i="26"/>
  <c r="O111" i="26"/>
  <c r="K111" i="26" s="1"/>
  <c r="E111" i="26"/>
  <c r="J110" i="26"/>
  <c r="K110" i="26"/>
  <c r="E110" i="26"/>
  <c r="E109" i="26"/>
  <c r="J108" i="26"/>
  <c r="G108" i="26"/>
  <c r="G107" i="26" s="1"/>
  <c r="G106" i="26" s="1"/>
  <c r="E108" i="26"/>
  <c r="P108" i="26" s="1"/>
  <c r="N107" i="26"/>
  <c r="N106" i="26" s="1"/>
  <c r="M107" i="26"/>
  <c r="L107" i="26"/>
  <c r="L106" i="26" s="1"/>
  <c r="I107" i="26"/>
  <c r="I106" i="26" s="1"/>
  <c r="H107" i="26"/>
  <c r="H106" i="26" s="1"/>
  <c r="M106" i="26"/>
  <c r="J105" i="26"/>
  <c r="E105" i="26"/>
  <c r="K104" i="26"/>
  <c r="J104" i="26"/>
  <c r="E104" i="26"/>
  <c r="J103" i="26"/>
  <c r="E103" i="26"/>
  <c r="J102" i="26"/>
  <c r="F102" i="26"/>
  <c r="F97" i="26" s="1"/>
  <c r="F96" i="26" s="1"/>
  <c r="J101" i="26"/>
  <c r="E101" i="26"/>
  <c r="K100" i="26"/>
  <c r="J100" i="26" s="1"/>
  <c r="P100" i="26" s="1"/>
  <c r="J99" i="26"/>
  <c r="E99" i="26"/>
  <c r="K98" i="26"/>
  <c r="J98" i="26"/>
  <c r="G98" i="26"/>
  <c r="E98" i="26"/>
  <c r="O97" i="26"/>
  <c r="O96" i="26" s="1"/>
  <c r="N97" i="26"/>
  <c r="M97" i="26"/>
  <c r="M96" i="26" s="1"/>
  <c r="L97" i="26"/>
  <c r="L96" i="26" s="1"/>
  <c r="I97" i="26"/>
  <c r="I96" i="26" s="1"/>
  <c r="H97" i="26"/>
  <c r="G97" i="26"/>
  <c r="G96" i="26" s="1"/>
  <c r="N96" i="26"/>
  <c r="H96" i="26"/>
  <c r="J95" i="26"/>
  <c r="E95" i="26"/>
  <c r="J94" i="26"/>
  <c r="E94" i="26"/>
  <c r="J93" i="26"/>
  <c r="E93" i="26"/>
  <c r="J92" i="26"/>
  <c r="G92" i="26"/>
  <c r="F92" i="26"/>
  <c r="E92" i="26" s="1"/>
  <c r="F91" i="26"/>
  <c r="E91" i="26" s="1"/>
  <c r="P91" i="26" s="1"/>
  <c r="J90" i="26"/>
  <c r="F90" i="26"/>
  <c r="E90" i="26" s="1"/>
  <c r="J89" i="26"/>
  <c r="G89" i="26"/>
  <c r="F89" i="26"/>
  <c r="E89" i="26" s="1"/>
  <c r="J88" i="26"/>
  <c r="E88" i="26"/>
  <c r="J87" i="26"/>
  <c r="F87" i="26"/>
  <c r="E87" i="26" s="1"/>
  <c r="J86" i="26"/>
  <c r="G86" i="26"/>
  <c r="E86" i="26"/>
  <c r="G85" i="26"/>
  <c r="E85" i="26"/>
  <c r="P85" i="26" s="1"/>
  <c r="J84" i="26"/>
  <c r="G84" i="26"/>
  <c r="F84" i="26"/>
  <c r="E84" i="26" s="1"/>
  <c r="K83" i="26"/>
  <c r="K79" i="26" s="1"/>
  <c r="K78" i="26" s="1"/>
  <c r="J83" i="26"/>
  <c r="G83" i="26"/>
  <c r="F83" i="26"/>
  <c r="E83" i="26" s="1"/>
  <c r="J82" i="26"/>
  <c r="F82" i="26"/>
  <c r="E82" i="26" s="1"/>
  <c r="M81" i="26"/>
  <c r="M79" i="26" s="1"/>
  <c r="M78" i="26" s="1"/>
  <c r="J81" i="26"/>
  <c r="G81" i="26"/>
  <c r="F81" i="26"/>
  <c r="E81" i="26" s="1"/>
  <c r="J80" i="26"/>
  <c r="G80" i="26"/>
  <c r="E80" i="26"/>
  <c r="O79" i="26"/>
  <c r="O78" i="26" s="1"/>
  <c r="N79" i="26"/>
  <c r="N78" i="26" s="1"/>
  <c r="L79" i="26"/>
  <c r="L78" i="26" s="1"/>
  <c r="I79" i="26"/>
  <c r="I78" i="26" s="1"/>
  <c r="H79" i="26"/>
  <c r="H78" i="26" s="1"/>
  <c r="J77" i="26"/>
  <c r="E77" i="26"/>
  <c r="J76" i="26"/>
  <c r="G76" i="26"/>
  <c r="G75" i="26" s="1"/>
  <c r="G74" i="26" s="1"/>
  <c r="E76" i="26"/>
  <c r="P76" i="26" s="1"/>
  <c r="O75" i="26"/>
  <c r="O74" i="26" s="1"/>
  <c r="N75" i="26"/>
  <c r="N74" i="26" s="1"/>
  <c r="M75" i="26"/>
  <c r="M74" i="26" s="1"/>
  <c r="L75" i="26"/>
  <c r="L74" i="26" s="1"/>
  <c r="K75" i="26"/>
  <c r="K74" i="26" s="1"/>
  <c r="I75" i="26"/>
  <c r="I74" i="26" s="1"/>
  <c r="H75" i="26"/>
  <c r="H74" i="26" s="1"/>
  <c r="F75" i="26"/>
  <c r="F74" i="26" s="1"/>
  <c r="J73" i="26"/>
  <c r="E73" i="26"/>
  <c r="J72" i="26"/>
  <c r="G72" i="26"/>
  <c r="E72" i="26"/>
  <c r="K71" i="26"/>
  <c r="J71" i="26" s="1"/>
  <c r="P71" i="26" s="1"/>
  <c r="K70" i="26"/>
  <c r="J70" i="26" s="1"/>
  <c r="P70" i="26" s="1"/>
  <c r="J69" i="26"/>
  <c r="F69" i="26"/>
  <c r="E69" i="26" s="1"/>
  <c r="J68" i="26"/>
  <c r="E68" i="26"/>
  <c r="J67" i="26"/>
  <c r="G67" i="26"/>
  <c r="E67" i="26"/>
  <c r="J66" i="26"/>
  <c r="E66" i="26"/>
  <c r="J65" i="26"/>
  <c r="F65" i="26"/>
  <c r="J64" i="26"/>
  <c r="E64" i="26"/>
  <c r="J63" i="26"/>
  <c r="E63" i="26"/>
  <c r="K62" i="26"/>
  <c r="J62" i="26"/>
  <c r="G62" i="26"/>
  <c r="F62" i="26"/>
  <c r="E62" i="26" s="1"/>
  <c r="O61" i="26"/>
  <c r="N61" i="26"/>
  <c r="N60" i="26" s="1"/>
  <c r="M61" i="26"/>
  <c r="M60" i="26" s="1"/>
  <c r="L61" i="26"/>
  <c r="I61" i="26"/>
  <c r="I60" i="26" s="1"/>
  <c r="H61" i="26"/>
  <c r="H60" i="26" s="1"/>
  <c r="O60" i="26"/>
  <c r="L60" i="26"/>
  <c r="K58" i="26"/>
  <c r="J58" i="26"/>
  <c r="P58" i="26" s="1"/>
  <c r="G57" i="26"/>
  <c r="E57" i="26"/>
  <c r="P57" i="26" s="1"/>
  <c r="E54" i="26"/>
  <c r="P54" i="26" s="1"/>
  <c r="G53" i="26"/>
  <c r="F53" i="26"/>
  <c r="E53" i="26" s="1"/>
  <c r="P53" i="26" s="1"/>
  <c r="G52" i="26"/>
  <c r="F52" i="26"/>
  <c r="E52" i="26" s="1"/>
  <c r="P52" i="26" s="1"/>
  <c r="G51" i="26"/>
  <c r="E51" i="26"/>
  <c r="P51" i="26" s="1"/>
  <c r="J50" i="26"/>
  <c r="G50" i="26"/>
  <c r="F50" i="26"/>
  <c r="E50" i="26" s="1"/>
  <c r="G49" i="26"/>
  <c r="F49" i="26"/>
  <c r="E49" i="26" s="1"/>
  <c r="P49" i="26" s="1"/>
  <c r="E48" i="26"/>
  <c r="P48" i="26" s="1"/>
  <c r="G47" i="26"/>
  <c r="E47" i="26"/>
  <c r="P47" i="26" s="1"/>
  <c r="G46" i="26"/>
  <c r="F46" i="26"/>
  <c r="J45" i="26"/>
  <c r="E45" i="26"/>
  <c r="O44" i="26"/>
  <c r="M44" i="26"/>
  <c r="M41" i="26" s="1"/>
  <c r="H41" i="26"/>
  <c r="H40" i="26" s="1"/>
  <c r="J43" i="26"/>
  <c r="E43" i="26"/>
  <c r="J42" i="26"/>
  <c r="G42" i="26"/>
  <c r="E42" i="26"/>
  <c r="I41" i="26"/>
  <c r="N40" i="26"/>
  <c r="M40" i="26"/>
  <c r="L40" i="26"/>
  <c r="I40" i="26"/>
  <c r="E39" i="26"/>
  <c r="P39" i="26" s="1"/>
  <c r="O38" i="26"/>
  <c r="K38" i="26" s="1"/>
  <c r="E38" i="26"/>
  <c r="E37" i="26"/>
  <c r="P37" i="26" s="1"/>
  <c r="K36" i="26"/>
  <c r="J36" i="26"/>
  <c r="E36" i="26"/>
  <c r="E35" i="26"/>
  <c r="P35" i="26" s="1"/>
  <c r="F34" i="26"/>
  <c r="E34" i="26" s="1"/>
  <c r="P34" i="26" s="1"/>
  <c r="F33" i="26"/>
  <c r="E33" i="26" s="1"/>
  <c r="P33" i="26" s="1"/>
  <c r="J32" i="26"/>
  <c r="P32" i="26" s="1"/>
  <c r="E31" i="26"/>
  <c r="P31" i="26" s="1"/>
  <c r="K29" i="26"/>
  <c r="J29" i="26"/>
  <c r="E29" i="26"/>
  <c r="K28" i="26"/>
  <c r="J28" i="26"/>
  <c r="F28" i="26"/>
  <c r="E28" i="26" s="1"/>
  <c r="K27" i="26"/>
  <c r="J27" i="26"/>
  <c r="F27" i="26"/>
  <c r="J26" i="26"/>
  <c r="E26" i="26"/>
  <c r="O25" i="26"/>
  <c r="K25" i="26" s="1"/>
  <c r="H24" i="26"/>
  <c r="H23" i="26" s="1"/>
  <c r="E25" i="26"/>
  <c r="N24" i="26"/>
  <c r="N23" i="26" s="1"/>
  <c r="M24" i="26"/>
  <c r="L24" i="26"/>
  <c r="I24" i="26"/>
  <c r="I23" i="26" s="1"/>
  <c r="G24" i="26"/>
  <c r="G23" i="26" s="1"/>
  <c r="M23" i="26"/>
  <c r="C87" i="25"/>
  <c r="D82" i="25"/>
  <c r="C82" i="25" s="1"/>
  <c r="C81" i="25"/>
  <c r="D80" i="25"/>
  <c r="C80" i="25" s="1"/>
  <c r="C79" i="25"/>
  <c r="D78" i="25"/>
  <c r="C78" i="25" s="1"/>
  <c r="D77" i="25"/>
  <c r="C77" i="25" s="1"/>
  <c r="D76" i="25"/>
  <c r="C76" i="25" s="1"/>
  <c r="C75" i="25"/>
  <c r="C74" i="25"/>
  <c r="C72" i="25"/>
  <c r="D71" i="25"/>
  <c r="C71" i="25" s="1"/>
  <c r="D69" i="25"/>
  <c r="F63" i="25"/>
  <c r="D63" i="25"/>
  <c r="C63" i="25"/>
  <c r="F61" i="25"/>
  <c r="E61" i="25"/>
  <c r="D61" i="25"/>
  <c r="C61" i="25"/>
  <c r="D59" i="25"/>
  <c r="C59" i="25"/>
  <c r="F57" i="25"/>
  <c r="E57" i="25"/>
  <c r="D57" i="25"/>
  <c r="C57" i="25"/>
  <c r="F51" i="25"/>
  <c r="E51" i="25"/>
  <c r="D51" i="25"/>
  <c r="C51" i="25"/>
  <c r="C46" i="25" s="1"/>
  <c r="C40" i="25"/>
  <c r="C39" i="25"/>
  <c r="C38" i="25"/>
  <c r="C37" i="25"/>
  <c r="D36" i="25"/>
  <c r="C36" i="25" s="1"/>
  <c r="C35" i="25"/>
  <c r="C34" i="25"/>
  <c r="C33" i="25"/>
  <c r="C32" i="25"/>
  <c r="D31" i="25"/>
  <c r="C22" i="25"/>
  <c r="F21" i="25"/>
  <c r="E21" i="25"/>
  <c r="P50" i="26" l="1"/>
  <c r="P62" i="26"/>
  <c r="P67" i="26"/>
  <c r="P80" i="26"/>
  <c r="P132" i="26"/>
  <c r="D46" i="25"/>
  <c r="G61" i="26"/>
  <c r="G60" i="26" s="1"/>
  <c r="P104" i="26"/>
  <c r="P118" i="26"/>
  <c r="P134" i="26"/>
  <c r="P128" i="26"/>
  <c r="E127" i="26"/>
  <c r="J138" i="26"/>
  <c r="J137" i="26" s="1"/>
  <c r="E27" i="26"/>
  <c r="F24" i="26"/>
  <c r="F23" i="26" s="1"/>
  <c r="P66" i="26"/>
  <c r="P77" i="26"/>
  <c r="P110" i="26"/>
  <c r="P141" i="26"/>
  <c r="D84" i="27"/>
  <c r="D83" i="27" s="1"/>
  <c r="P83" i="26"/>
  <c r="P84" i="26"/>
  <c r="P103" i="26"/>
  <c r="C31" i="25"/>
  <c r="D30" i="25"/>
  <c r="C30" i="25" s="1"/>
  <c r="C29" i="25" s="1"/>
  <c r="C21" i="25" s="1"/>
  <c r="C66" i="25" s="1"/>
  <c r="F46" i="25"/>
  <c r="C70" i="25"/>
  <c r="J75" i="26"/>
  <c r="J74" i="26" s="1"/>
  <c r="F131" i="26"/>
  <c r="F130" i="26" s="1"/>
  <c r="F61" i="26"/>
  <c r="F60" i="26" s="1"/>
  <c r="E107" i="26"/>
  <c r="E106" i="26" s="1"/>
  <c r="F106" i="26" s="1"/>
  <c r="J111" i="26"/>
  <c r="P111" i="26" s="1"/>
  <c r="P116" i="26"/>
  <c r="F138" i="26"/>
  <c r="F137" i="26" s="1"/>
  <c r="K61" i="26"/>
  <c r="K60" i="26" s="1"/>
  <c r="P94" i="26"/>
  <c r="P101" i="26"/>
  <c r="P105" i="26"/>
  <c r="P140" i="26"/>
  <c r="D52" i="27"/>
  <c r="D51" i="27" s="1"/>
  <c r="J51" i="28"/>
  <c r="N142" i="26"/>
  <c r="J123" i="26"/>
  <c r="J122" i="26" s="1"/>
  <c r="D22" i="25"/>
  <c r="F66" i="25"/>
  <c r="F88" i="25" s="1"/>
  <c r="E46" i="25"/>
  <c r="E66" i="25" s="1"/>
  <c r="E88" i="25" s="1"/>
  <c r="P36" i="26"/>
  <c r="E46" i="26"/>
  <c r="P46" i="26" s="1"/>
  <c r="F41" i="26"/>
  <c r="P63" i="26"/>
  <c r="E65" i="26"/>
  <c r="P65" i="26" s="1"/>
  <c r="F79" i="26"/>
  <c r="F78" i="26" s="1"/>
  <c r="J97" i="26"/>
  <c r="J96" i="26" s="1"/>
  <c r="E102" i="26"/>
  <c r="P102" i="26" s="1"/>
  <c r="J119" i="26"/>
  <c r="P119" i="26" s="1"/>
  <c r="P136" i="26"/>
  <c r="P45" i="26"/>
  <c r="G41" i="26"/>
  <c r="G40" i="26" s="1"/>
  <c r="P88" i="26"/>
  <c r="P98" i="26"/>
  <c r="E97" i="26"/>
  <c r="K123" i="26"/>
  <c r="K122" i="26" s="1"/>
  <c r="J25" i="26"/>
  <c r="P25" i="26" s="1"/>
  <c r="O24" i="26"/>
  <c r="J24" i="26" s="1"/>
  <c r="J44" i="26"/>
  <c r="O41" i="26"/>
  <c r="O40" i="26" s="1"/>
  <c r="K44" i="26"/>
  <c r="K41" i="26" s="1"/>
  <c r="K40" i="26" s="1"/>
  <c r="J61" i="26"/>
  <c r="J60" i="26" s="1"/>
  <c r="P69" i="26"/>
  <c r="K97" i="26"/>
  <c r="K96" i="26" s="1"/>
  <c r="E122" i="26"/>
  <c r="P124" i="26"/>
  <c r="P28" i="26"/>
  <c r="P29" i="26"/>
  <c r="P43" i="26"/>
  <c r="P115" i="26"/>
  <c r="P112" i="26"/>
  <c r="J22" i="28"/>
  <c r="J21" i="28" s="1"/>
  <c r="P120" i="26"/>
  <c r="J79" i="26"/>
  <c r="J78" i="26" s="1"/>
  <c r="P27" i="26"/>
  <c r="P86" i="26"/>
  <c r="P90" i="26"/>
  <c r="P82" i="26"/>
  <c r="P89" i="26"/>
  <c r="P93" i="26"/>
  <c r="P95" i="26"/>
  <c r="E131" i="26"/>
  <c r="E130" i="26" s="1"/>
  <c r="E79" i="26"/>
  <c r="E78" i="26" s="1"/>
  <c r="H142" i="26"/>
  <c r="P26" i="26"/>
  <c r="I142" i="26"/>
  <c r="P72" i="26"/>
  <c r="E75" i="26"/>
  <c r="P81" i="26"/>
  <c r="P87" i="26"/>
  <c r="K109" i="26"/>
  <c r="K107" i="26" s="1"/>
  <c r="K106" i="26" s="1"/>
  <c r="O107" i="26"/>
  <c r="O106" i="26" s="1"/>
  <c r="L23" i="26"/>
  <c r="L142" i="26" s="1"/>
  <c r="G79" i="26"/>
  <c r="G78" i="26" s="1"/>
  <c r="P139" i="26"/>
  <c r="E138" i="26"/>
  <c r="E24" i="26"/>
  <c r="K26" i="26"/>
  <c r="P42" i="26"/>
  <c r="E44" i="26"/>
  <c r="F40" i="26"/>
  <c r="J38" i="26"/>
  <c r="P38" i="26" s="1"/>
  <c r="M142" i="26"/>
  <c r="P64" i="26"/>
  <c r="P68" i="26"/>
  <c r="P73" i="26"/>
  <c r="P92" i="26"/>
  <c r="P99" i="26"/>
  <c r="J109" i="26"/>
  <c r="J121" i="26"/>
  <c r="P121" i="26" s="1"/>
  <c r="J133" i="26"/>
  <c r="O131" i="26"/>
  <c r="O130" i="26" s="1"/>
  <c r="C69" i="25"/>
  <c r="C73" i="25"/>
  <c r="D73" i="25"/>
  <c r="D68" i="25" s="1"/>
  <c r="D67" i="25" s="1"/>
  <c r="P123" i="26" l="1"/>
  <c r="G142" i="26"/>
  <c r="P122" i="26"/>
  <c r="J41" i="26"/>
  <c r="J40" i="26" s="1"/>
  <c r="E41" i="26"/>
  <c r="D29" i="25"/>
  <c r="E61" i="26"/>
  <c r="P61" i="26" s="1"/>
  <c r="D21" i="25"/>
  <c r="D66" i="25" s="1"/>
  <c r="D88" i="25" s="1"/>
  <c r="O23" i="26"/>
  <c r="O142" i="26" s="1"/>
  <c r="P127" i="26"/>
  <c r="E126" i="26"/>
  <c r="P126" i="26" s="1"/>
  <c r="J107" i="26"/>
  <c r="J106" i="26" s="1"/>
  <c r="P106" i="26" s="1"/>
  <c r="P78" i="26"/>
  <c r="K24" i="26"/>
  <c r="K23" i="26" s="1"/>
  <c r="K142" i="26" s="1"/>
  <c r="J112" i="28"/>
  <c r="P79" i="26"/>
  <c r="C68" i="25"/>
  <c r="C67" i="25" s="1"/>
  <c r="C88" i="25" s="1"/>
  <c r="P44" i="26"/>
  <c r="E23" i="26"/>
  <c r="F142" i="26"/>
  <c r="P75" i="26"/>
  <c r="E74" i="26"/>
  <c r="P74" i="26" s="1"/>
  <c r="P133" i="26"/>
  <c r="J131" i="26"/>
  <c r="E137" i="26"/>
  <c r="P137" i="26" s="1"/>
  <c r="P138" i="26"/>
  <c r="P97" i="26"/>
  <c r="E96" i="26"/>
  <c r="P96" i="26" s="1"/>
  <c r="P109" i="26"/>
  <c r="J23" i="26"/>
  <c r="E60" i="26" l="1"/>
  <c r="P60" i="26" s="1"/>
  <c r="P107" i="26"/>
  <c r="P23" i="26"/>
  <c r="P41" i="26"/>
  <c r="E40" i="26"/>
  <c r="P40" i="26" s="1"/>
  <c r="J130" i="26"/>
  <c r="P130" i="26" s="1"/>
  <c r="P131" i="26"/>
  <c r="J142" i="26"/>
  <c r="P24" i="26"/>
  <c r="E142" i="26" l="1"/>
  <c r="P142" i="26" l="1"/>
  <c r="H110" i="11" l="1"/>
  <c r="G110" i="11" s="1"/>
  <c r="G112" i="11"/>
  <c r="G111" i="11" l="1"/>
  <c r="G42" i="11"/>
  <c r="I40" i="11"/>
  <c r="J29" i="11" l="1"/>
  <c r="H38" i="11"/>
  <c r="G33" i="11"/>
  <c r="H29" i="11"/>
  <c r="H28" i="11"/>
  <c r="H55" i="11" l="1"/>
  <c r="G58" i="11"/>
  <c r="G59" i="11"/>
  <c r="J92" i="11" l="1"/>
  <c r="J109" i="11"/>
  <c r="J108" i="11"/>
  <c r="J107" i="11" s="1"/>
  <c r="G109" i="11"/>
  <c r="G108" i="11" s="1"/>
  <c r="I107" i="11"/>
  <c r="H107" i="11"/>
  <c r="J101" i="11"/>
  <c r="G101" i="11"/>
  <c r="I96" i="11"/>
  <c r="G96" i="11" s="1"/>
  <c r="J95" i="11"/>
  <c r="G95" i="11"/>
  <c r="I94" i="11"/>
  <c r="J81" i="11"/>
  <c r="J79" i="11" s="1"/>
  <c r="G81" i="11"/>
  <c r="I24" i="11"/>
  <c r="G116" i="11"/>
  <c r="G115" i="11" s="1"/>
  <c r="J115" i="11"/>
  <c r="I115" i="11"/>
  <c r="H72" i="11"/>
  <c r="H70" i="11"/>
  <c r="H69" i="11"/>
  <c r="H68" i="11"/>
  <c r="H67" i="11"/>
  <c r="H65" i="11"/>
  <c r="H66" i="11"/>
  <c r="H49" i="11"/>
  <c r="H47" i="11"/>
  <c r="K107" i="11" l="1"/>
  <c r="G107" i="11"/>
  <c r="F28" i="16" l="1"/>
  <c r="J41" i="11" l="1"/>
  <c r="G41" i="11"/>
  <c r="G97" i="11" l="1"/>
  <c r="J97" i="11"/>
  <c r="J40" i="11"/>
  <c r="J24" i="11" s="1"/>
  <c r="F33" i="16" l="1"/>
  <c r="J46" i="11"/>
  <c r="H34" i="11" l="1"/>
  <c r="I106" i="11" l="1"/>
  <c r="H32" i="11"/>
  <c r="H24" i="11" l="1"/>
  <c r="G24" i="11" s="1"/>
  <c r="I88" i="11"/>
  <c r="I79" i="11" s="1"/>
  <c r="I98" i="11"/>
  <c r="G98" i="11" s="1"/>
  <c r="J44" i="11"/>
  <c r="I46" i="11"/>
  <c r="I44" i="11" s="1"/>
  <c r="H73" i="11"/>
  <c r="G46" i="11" l="1"/>
  <c r="C26" i="16"/>
  <c r="C25" i="16" s="1"/>
  <c r="E25" i="16"/>
  <c r="E32" i="16" s="1"/>
  <c r="E33" i="16"/>
  <c r="G31" i="11" l="1"/>
  <c r="J106" i="11"/>
  <c r="G106" i="11"/>
  <c r="J105" i="11"/>
  <c r="G105" i="11"/>
  <c r="J104" i="11"/>
  <c r="G104" i="11"/>
  <c r="I91" i="11"/>
  <c r="J102" i="11"/>
  <c r="G102" i="11"/>
  <c r="J100" i="11"/>
  <c r="G100" i="11"/>
  <c r="J99" i="11"/>
  <c r="J94" i="11"/>
  <c r="G92" i="11"/>
  <c r="G87" i="11"/>
  <c r="G39" i="11"/>
  <c r="G36" i="11"/>
  <c r="G77" i="11"/>
  <c r="G76" i="11"/>
  <c r="G40" i="11"/>
  <c r="G38" i="11"/>
  <c r="G32" i="11"/>
  <c r="G94" i="11" l="1"/>
  <c r="G99" i="11"/>
  <c r="J96" i="11"/>
  <c r="H64" i="11"/>
  <c r="H85" i="11" l="1"/>
  <c r="H79" i="11" s="1"/>
  <c r="H78" i="11" s="1"/>
  <c r="G103" i="11" l="1"/>
  <c r="G62" i="11"/>
  <c r="J93" i="11" l="1"/>
  <c r="H91" i="11"/>
  <c r="J103" i="11"/>
  <c r="G93" i="11"/>
  <c r="G91" i="11" s="1"/>
  <c r="J91" i="11" l="1"/>
  <c r="G88" i="11"/>
  <c r="G86" i="11"/>
  <c r="G85" i="11"/>
  <c r="G83" i="11"/>
  <c r="G82" i="11"/>
  <c r="G80" i="11"/>
  <c r="J64" i="11"/>
  <c r="I64" i="11"/>
  <c r="G75" i="11"/>
  <c r="G74" i="11"/>
  <c r="G73" i="11"/>
  <c r="G72" i="11"/>
  <c r="G71" i="11"/>
  <c r="G70" i="11"/>
  <c r="G69" i="11"/>
  <c r="G68" i="11"/>
  <c r="G67" i="11"/>
  <c r="G66" i="11"/>
  <c r="G65" i="11"/>
  <c r="I55" i="11"/>
  <c r="G55" i="11" s="1"/>
  <c r="J55" i="11"/>
  <c r="G57" i="11"/>
  <c r="G56" i="11"/>
  <c r="G47" i="11"/>
  <c r="G48" i="11"/>
  <c r="G49" i="11"/>
  <c r="G50" i="11"/>
  <c r="G51" i="11"/>
  <c r="G45" i="11"/>
  <c r="G79" i="11" l="1"/>
  <c r="G64" i="11"/>
  <c r="G28" i="11"/>
  <c r="G29" i="11"/>
  <c r="G30" i="11"/>
  <c r="G34" i="11"/>
  <c r="G35" i="11"/>
  <c r="G37" i="11"/>
  <c r="G27" i="11"/>
  <c r="G26" i="11"/>
  <c r="D24" i="16" l="1"/>
  <c r="D31" i="16" s="1"/>
  <c r="E35" i="16" l="1"/>
  <c r="D35" i="16"/>
  <c r="C32" i="16" l="1"/>
  <c r="C24" i="16"/>
  <c r="C31" i="16" s="1"/>
  <c r="D33" i="16"/>
  <c r="C33" i="16" s="1"/>
  <c r="F25" i="16"/>
  <c r="F32" i="16" s="1"/>
  <c r="E24" i="16"/>
  <c r="F35" i="16" l="1"/>
  <c r="F24" i="16"/>
  <c r="F31" i="16" s="1"/>
  <c r="C29" i="16"/>
  <c r="C36" i="16" s="1"/>
  <c r="E29" i="16"/>
  <c r="E36" i="16" s="1"/>
  <c r="E31" i="16"/>
  <c r="D32" i="16"/>
  <c r="F29" i="16" l="1"/>
  <c r="F36" i="16" s="1"/>
  <c r="D29" i="16"/>
  <c r="D36" i="16" s="1"/>
  <c r="H52" i="11" l="1"/>
  <c r="H44" i="11" s="1"/>
  <c r="H43" i="11" l="1"/>
  <c r="G52" i="11"/>
  <c r="J78" i="11"/>
  <c r="I78" i="11"/>
  <c r="K78" i="11" s="1"/>
  <c r="J63" i="11"/>
  <c r="H63" i="11"/>
  <c r="J61" i="11"/>
  <c r="J60" i="11" s="1"/>
  <c r="I61" i="11"/>
  <c r="I60" i="11" s="1"/>
  <c r="K60" i="11" s="1"/>
  <c r="H61" i="11"/>
  <c r="J54" i="11"/>
  <c r="H54" i="11"/>
  <c r="J43" i="11"/>
  <c r="J23" i="11" s="1"/>
  <c r="H60" i="11" l="1"/>
  <c r="G61" i="11"/>
  <c r="I63" i="11"/>
  <c r="J90" i="11"/>
  <c r="I90" i="11"/>
  <c r="I54" i="11"/>
  <c r="H90" i="11"/>
  <c r="G44" i="11"/>
  <c r="I43" i="11"/>
  <c r="K43" i="11" s="1"/>
  <c r="G54" i="11" l="1"/>
  <c r="K54" i="11"/>
  <c r="G63" i="11"/>
  <c r="K63" i="11"/>
  <c r="K90" i="11"/>
  <c r="G60" i="11"/>
  <c r="J114" i="11"/>
  <c r="J118" i="11" s="1"/>
  <c r="G25" i="11"/>
  <c r="G43" i="11"/>
  <c r="H23" i="11"/>
  <c r="G90" i="11"/>
  <c r="G78" i="11"/>
  <c r="H118" i="11" l="1"/>
  <c r="I23" i="11"/>
  <c r="K23" i="11" s="1"/>
  <c r="I114" i="11" l="1"/>
  <c r="G114" i="11" s="1"/>
  <c r="I118" i="11"/>
  <c r="G23" i="11"/>
  <c r="G118" i="11" l="1"/>
</calcChain>
</file>

<file path=xl/sharedStrings.xml><?xml version="1.0" encoding="utf-8"?>
<sst xmlns="http://schemas.openxmlformats.org/spreadsheetml/2006/main" count="1855" uniqueCount="689">
  <si>
    <t>(код бюджету)</t>
  </si>
  <si>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</si>
  <si>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</si>
  <si>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</si>
  <si>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</si>
  <si>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</si>
  <si>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</si>
  <si>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</si>
  <si>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до  рішення Южненської міської ради</t>
  </si>
  <si>
    <t xml:space="preserve">"Про  бюджет Южненської міської 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</si>
  <si>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</si>
  <si>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</si>
  <si>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</si>
  <si>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</si>
  <si>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</si>
  <si>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</si>
  <si>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/>
  </si>
  <si>
    <t>Виконавчий комітет Южненської міської ради Одеського району Одеської області</t>
  </si>
  <si>
    <t>0210000</t>
  </si>
  <si>
    <t>0111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</si>
  <si>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</si>
  <si>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</si>
  <si>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</si>
  <si>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</si>
  <si>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</si>
  <si>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</si>
  <si>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</si>
  <si>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</si>
  <si>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6030</t>
  </si>
  <si>
    <t>0620</t>
  </si>
  <si>
    <t>Організація благоустрою населених пунктів</t>
  </si>
  <si>
    <t>0217530</t>
  </si>
  <si>
    <t>7530</t>
  </si>
  <si>
    <t>0460</t>
  </si>
  <si>
    <t>Інші заходи у сфері зв`язку, телекомунікації та інформатики</t>
  </si>
  <si>
    <t>0218220</t>
  </si>
  <si>
    <t>8220</t>
  </si>
  <si>
    <t>0380</t>
  </si>
  <si>
    <t>Заходи та роботи з мобілізаційної підготовки місцевого значення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</si>
  <si>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</si>
  <si>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</si>
  <si>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</si>
  <si>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</si>
  <si>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</si>
  <si>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Южненської міської ради Одеського районого Одеської області</t>
  </si>
  <si>
    <t>0610000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</si>
  <si>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</si>
  <si>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</si>
  <si>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</si>
  <si>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</si>
  <si>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</si>
  <si>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</si>
  <si>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</si>
  <si>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</si>
  <si>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</si>
  <si>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</si>
  <si>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</si>
  <si>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0990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</si>
  <si>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</si>
  <si>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</si>
  <si>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</si>
  <si>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</si>
  <si>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</si>
  <si>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</si>
  <si>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</si>
  <si>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</si>
  <si>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</si>
  <si>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</si>
  <si>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</si>
  <si>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</si>
  <si>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</si>
  <si>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0800000</t>
  </si>
  <si>
    <t>Управління соціальної політики Южненської міської ради Одеського району Одеської області</t>
  </si>
  <si>
    <t>0810000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</si>
  <si>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</si>
  <si>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</si>
  <si>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</si>
  <si>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</si>
  <si>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</si>
  <si>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</si>
  <si>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</si>
  <si>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1090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</si>
  <si>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</si>
  <si>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</si>
  <si>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</si>
  <si>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</si>
  <si>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Южненської міської ради Одеського району Одеської області</t>
  </si>
  <si>
    <t>0910000</t>
  </si>
  <si>
    <t>0913112</t>
  </si>
  <si>
    <t>3112</t>
  </si>
  <si>
    <t>Заходи державної політики з питань дітей та їх соціального захисту</t>
  </si>
  <si>
    <t>1000000</t>
  </si>
  <si>
    <t>Управління культури, спорту та молодіжної політики Южненської міської ради Одеського району Одеської області</t>
  </si>
  <si>
    <t>1010000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</si>
  <si>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</si>
  <si>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</si>
  <si>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</si>
  <si>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</si>
  <si>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</si>
  <si>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</si>
  <si>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</si>
  <si>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</si>
  <si>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</si>
  <si>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</si>
  <si>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</si>
  <si>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</si>
  <si>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</si>
  <si>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</si>
  <si>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</si>
  <si>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</si>
  <si>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</si>
  <si>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0829</t>
  </si>
  <si>
    <t>1014082</t>
  </si>
  <si>
    <t>4082</t>
  </si>
  <si>
    <t>Інші заходи в галузі культури і мистецтва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</si>
  <si>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</si>
  <si>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</si>
  <si>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</si>
  <si>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</si>
  <si>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1015031</t>
  </si>
  <si>
    <t>5031</t>
  </si>
  <si>
    <t>Утримання та навчально-тренувальна робота комунальних дитячо-юнацьких спортивних шкіл</t>
  </si>
  <si>
    <t>1015061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</si>
  <si>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</si>
  <si>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</si>
  <si>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</si>
  <si>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</si>
  <si>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</si>
  <si>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1200000</t>
  </si>
  <si>
    <t>Управління житлово-комунального господарства Южненської міської ради Одеського району Одеської області</t>
  </si>
  <si>
    <t>1213210</t>
  </si>
  <si>
    <t>3210</t>
  </si>
  <si>
    <t>1050</t>
  </si>
  <si>
    <t>Організація та проведення громадських робіт</t>
  </si>
  <si>
    <t>1216013</t>
  </si>
  <si>
    <t>6013</t>
  </si>
  <si>
    <t>Забезпечення діяльності водопровідно-каналізаційного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</si>
  <si>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</si>
  <si>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</si>
  <si>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</si>
  <si>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</si>
  <si>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</si>
  <si>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1218340</t>
  </si>
  <si>
    <t>8340</t>
  </si>
  <si>
    <t>0540</t>
  </si>
  <si>
    <t>Природоохоронні заходи за рахунок цільових фондів</t>
  </si>
  <si>
    <t>1500000</t>
  </si>
  <si>
    <t>Управління капітального будівництва Южненської міської ради Одеського району Одеської області</t>
  </si>
  <si>
    <t>0443</t>
  </si>
  <si>
    <t>1517330</t>
  </si>
  <si>
    <t>7330</t>
  </si>
  <si>
    <t>Будівництво інших об`єктів комунальної власності</t>
  </si>
  <si>
    <t>УСЬОГО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</si>
  <si>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</si>
  <si>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</si>
  <si>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Програма розвитку та підтримки первинної медико-санітарної допомоги Южненської міської територіальної громади  на 2021-2023 роки</t>
  </si>
  <si>
    <t>Програма сприяння оборонній і мобілізаційній готовності Южненської міської територіальної громади на 2022-2024 роки</t>
  </si>
  <si>
    <t>Міська програма підтримки аудіовізуальних засобів масової інформації (КОМУНАЛЬНЕ ПІДПРИЄМСТВО ЮЖНЕНСЬКА МІСЬКА СТУДІЯ ТЕЛЕБАЧЕННЯ "МИГ"), засновником яких є Южненська міська рада, на 2021-2023 роки</t>
  </si>
  <si>
    <t>Програма розвитку освіти Южненської міської територіальної громади  на 2022-2024 роки</t>
  </si>
  <si>
    <t>Програма розвитку освіти Южненської міської територіальної громади на 2022-2024 роки</t>
  </si>
  <si>
    <t>Програма оздоровлення та відпочинку дітей Южненської міської територіальної громади на період 2022-2024 роки</t>
  </si>
  <si>
    <t>Цільова соціальна програма Молодь Южненської міської територіальної громади на 2022-2024 роки</t>
  </si>
  <si>
    <t>Програма соціального захисту окремих категорій населення Южненської міської територіальної громади на 2021-2023 роки</t>
  </si>
  <si>
    <t>Програма  плану дій щодо реалізації  Конвенції ООН  про права дитини на період до 2023 року Южненської міської територіальної громади</t>
  </si>
  <si>
    <t>Програма розвитку культури в Южненській міській територіальній  громаді на 2022-2024 роки</t>
  </si>
  <si>
    <t>Програма розвитку фізичної культури і спорту в Южненській міській територіальній  громаді на 2021-2023 роки</t>
  </si>
  <si>
    <t>Програма реформування і розвитку житлово-комунального господарства Южненської міської територіальної громади на 2020-2024 роки</t>
  </si>
  <si>
    <t xml:space="preserve"> Програма з локалізації та ліквідації амброзії полинолистої на територій Южненської міської територіальної громади на  2020-2024 роки</t>
  </si>
  <si>
    <t xml:space="preserve"> Екологічна програма заходів з охорони навколишнього природного середовища Южненської міської територіальної громади на 2021-2023 роки</t>
  </si>
  <si>
    <t>Програма розвитку інфраструктури Южненської міської територіальної громади на 2020-2024 роки</t>
  </si>
  <si>
    <t>1511021</t>
  </si>
  <si>
    <t>Рішення ЮМР від 22.07.2021 року № 476-VІІІ з внесеними змінами від 23.12.2021 року  № 903 -VIIІ шляхом викладення у новій редакції</t>
  </si>
  <si>
    <t>Заходи та роботи з територіальної оборони</t>
  </si>
  <si>
    <t>0218230</t>
  </si>
  <si>
    <t>Інші заходи громадського порядку та безпеки</t>
  </si>
  <si>
    <t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</t>
  </si>
  <si>
    <t>Код</t>
  </si>
  <si>
    <t>Найменування згідно з Класифікацією фінансування бюджету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</si>
  <si>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</si>
  <si>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</si>
  <si>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</si>
  <si>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</si>
  <si>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</si>
  <si>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</si>
  <si>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</si>
  <si>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</si>
  <si>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</si>
  <si>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</si>
  <si>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</si>
  <si>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</si>
  <si>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</si>
  <si>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</si>
  <si>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</si>
  <si>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</si>
  <si>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</si>
  <si>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</si>
  <si>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</si>
  <si>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602400</t>
  </si>
  <si>
    <t>до рішення Южненської міської ради</t>
  </si>
  <si>
    <t>х</t>
  </si>
  <si>
    <t>Утримання та фінансова підтримка спортивних споруд</t>
  </si>
  <si>
    <t>Рішення ЮМР від 18.06.2020 року № 1771-VIІ  з внесеними змінами від 28.10.2022 року  № 1096 -VIIІ шляхом викладення у новій редакції</t>
  </si>
  <si>
    <t>загальний фонд</t>
  </si>
  <si>
    <t>спеціальний фонд</t>
  </si>
  <si>
    <t>Розподіл витрат місцевого бюджету на реалізацію місцевих програм у 2023 році</t>
  </si>
  <si>
    <t>територіальної громади  на 2023 рік"</t>
  </si>
  <si>
    <t>Програма місцевих стимулів для працівників Комунального некомерційного підприємства"Южненська міська лікарня" Южненської міської ради на 2023-2025 роки</t>
  </si>
  <si>
    <t>Програма підтримки та розвитку вторинної медичної допомоги Южненської міської територіальної громади на  період 2023-2025 роки</t>
  </si>
  <si>
    <t xml:space="preserve">Рішення ЮМР від 28.10.2022 року            №1091 -VIIІ </t>
  </si>
  <si>
    <t xml:space="preserve"> Комплексна цільова програма "Електронна громада" на 2021-2023 роки</t>
  </si>
  <si>
    <t>Програма забезпечення діяльності Южненського комунального підприємства "Муніципальна варта" на 2022-2024 роки</t>
  </si>
  <si>
    <t>1559100000</t>
  </si>
  <si>
    <t>Додаток 2</t>
  </si>
  <si>
    <t>Фінансування місцевого бюджету на 2023 рік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</si>
  <si>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</si>
  <si>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</si>
  <si>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</si>
  <si>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0490</t>
  </si>
  <si>
    <t>Управління архітектури та містобудування Южненської міської ради Одеського району Одеської області</t>
  </si>
  <si>
    <t>Управління економіки Южненської міської ради Одеського району Одеської області</t>
  </si>
  <si>
    <t>Фонд комунального майна Южненської міської ради Одеського району Одеської області</t>
  </si>
  <si>
    <t>0180</t>
  </si>
  <si>
    <t>від  07 грудня  2022 року</t>
  </si>
  <si>
    <t>від 07 грудня  2022 року</t>
  </si>
  <si>
    <t>№  1187 -VIІІ</t>
  </si>
  <si>
    <t>№ 1187 -VIІІ</t>
  </si>
  <si>
    <t>"Додаток 2</t>
  </si>
  <si>
    <t>( пункт 1)"</t>
  </si>
  <si>
    <t>( пункт 1.2)</t>
  </si>
  <si>
    <t>(пункт 5)"</t>
  </si>
  <si>
    <t>Надання загальної середньої освіти закладами загальної середньої освіти за рахунок коштів місцевого бюджету</t>
  </si>
  <si>
    <t>0218110</t>
  </si>
  <si>
    <t>0320</t>
  </si>
  <si>
    <t>Заходи із запобігання та ліквідації надзввичайних ситуацій та наслідків стихійного лиха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</si>
  <si>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</si>
  <si>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</si>
  <si>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Заходи із запобігання та ліквідації надзвичайних ситуацій та наслідків стихійного лиха</t>
  </si>
  <si>
    <t>Інші субвенції з місцевого бюджету</t>
  </si>
  <si>
    <t>7693</t>
  </si>
  <si>
    <t>0218240</t>
  </si>
  <si>
    <t>8240</t>
  </si>
  <si>
    <t>0618110</t>
  </si>
  <si>
    <t>8110</t>
  </si>
  <si>
    <t>1217640</t>
  </si>
  <si>
    <t>7640</t>
  </si>
  <si>
    <t>0470</t>
  </si>
  <si>
    <t>Заходи з енергозбереження</t>
  </si>
  <si>
    <t>1512010</t>
  </si>
  <si>
    <t>1514060</t>
  </si>
  <si>
    <t>Забезпечення діяльності палаців і будинків культури, клубів, центрів дозвілля та інших клубних закладів</t>
  </si>
  <si>
    <t>1516030</t>
  </si>
  <si>
    <t>1517321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</si>
  <si>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</si>
  <si>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</si>
  <si>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</si>
  <si>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</si>
  <si>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</si>
  <si>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1517461</t>
  </si>
  <si>
    <t>1517693</t>
  </si>
  <si>
    <t>Інші заходи, пов'язані з економічною діяльністю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</si>
  <si>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</si>
  <si>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</si>
  <si>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</si>
  <si>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Программа підтримки органу самоорганізації населення в місті Южному на 2023-2025 роки</t>
  </si>
  <si>
    <t xml:space="preserve">Програма розвитку цивільного захисту, техногенної та пожежної безпеки на території Южненської  міської територіальної громади на 2022-2026 роки </t>
  </si>
  <si>
    <t xml:space="preserve">Програма підвищення ефективності діяльності підрозділів Одеського прикордонного загону на 2022-2024 роки </t>
  </si>
  <si>
    <t xml:space="preserve"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 </t>
  </si>
  <si>
    <t>Програма розвитку цивільного захисту, техногенної та пожежної безпеки на території Южненської  міської територіальної громади на 2022-2026 роки</t>
  </si>
  <si>
    <t>Програма надання фінансової підтримки об`єднанням співвласників багатоквартирних будинків Южненської міської територіальної громади-учасникам Програми підтримки енергомодернізації багатоквартирних будинків "Енергодім" на 2022-2025 роки"</t>
  </si>
  <si>
    <t xml:space="preserve">Програма розвитку інфраструктури Южненської міської територіальної громади на 2020-2024 роки  </t>
  </si>
  <si>
    <t>Програма зміцнення законності, безпеки та порядку на території Южненської міської територіальної громади Одеського району Одеської області на 2022-2024 роки</t>
  </si>
  <si>
    <t>Рішення ЮМР від 22.12.2020 року №49 -VIIІ</t>
  </si>
  <si>
    <t xml:space="preserve">Рішення ЮМР від  01.12.2022 року   №1170 -VIIІ </t>
  </si>
  <si>
    <t>"Додаток 7</t>
  </si>
  <si>
    <t>Рішення ЮМР від 22.12.2020 року № 58 - VIIІ з внесеними змінами від 07.03. 2023 року   № 1229 -VIIІ шляхом викладення у новій редакції</t>
  </si>
  <si>
    <t xml:space="preserve">Рішення ЮМР від 22.07.2021 року № 474-VІІІ з внесеним змінами від  09.03. 2023 року № 1306 -VІІІ шляхом викладення у новій редакції        </t>
  </si>
  <si>
    <t>1516013</t>
  </si>
  <si>
    <t>Рішення ЮМР від 22.07.2021 року №480-VIІІ з внесеними змінами від 04.05.2023 року № 1325-VIII  шляхом викладення  у новій редакції</t>
  </si>
  <si>
    <t>Забезпечення діяльності з виробництва, транспортування, постачання теплової енергії</t>
  </si>
  <si>
    <t>6012</t>
  </si>
  <si>
    <t>15816012</t>
  </si>
  <si>
    <t>Програма протидії злочинності та посилення публічної безпеки на території Южненської  міської територіальної громади Одеського району Одеської області на 2021-2023 роки</t>
  </si>
  <si>
    <t>Рішення ЮМР від 30.07.2021 року № 510-VIIІ з внесеними змінами  від 18 05.2023 року № 1386- VIIІ  , шляхом викладення у новій редакції</t>
  </si>
  <si>
    <t>Рішення ЮМР від 21.10.2021 року                                  № 706-VIIІ з внесеними змінами  від  18.05.2023  року № 1391 -VIII, шляхом викладення у новій редакції</t>
  </si>
  <si>
    <t>Розроблення комплексних планів просторового розвитку територій територіальних громад</t>
  </si>
  <si>
    <t>1617351</t>
  </si>
  <si>
    <t>7351</t>
  </si>
  <si>
    <t>3118110</t>
  </si>
  <si>
    <t>'Програма енергоефективностів житлово-комунального господарства та бюджетній сфері Южненської міської територіальної громади на період з 2021 по 2024 роки</t>
  </si>
  <si>
    <t>1517322</t>
  </si>
  <si>
    <t>7322</t>
  </si>
  <si>
    <t>'Будівництво  медичних установ та закладів</t>
  </si>
  <si>
    <t>Програма створення та розвитку містобудівного кадастру Южненської міської територіальної громади Одеського району Одеської області на 2021-2024 роки</t>
  </si>
  <si>
    <t>Програма надання пільг на оплату послуг зв"язку,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2021-2024 роки</t>
  </si>
  <si>
    <t>Рішення ЮМР від 18.06.2020 року № 1760-VII з внесеними змінами від 13.07.2023 року  № 1405 -VIIІ шляхом викладення у новій редакції</t>
  </si>
  <si>
    <t>Рішення Южненської міської ради  від 29.04.2021 року №360-VIIІ з внесеними змінами  від 27.07. 2023  року № 1422  -VIII, шляхом викладення у новій редакції</t>
  </si>
  <si>
    <t xml:space="preserve">Програма створення та використання матеріальних резервів для запобігання і  ліквідаціі наслідків надзвичайних ситуацій на території Южненської міської територіальної громади  на 2023-2025 роки.
</t>
  </si>
  <si>
    <t>0219770</t>
  </si>
  <si>
    <t>Рішення ЮМР від 28.10.2022 року           №1092-VIIІ з внесеними змінами від  23.08. 2023 року   № 1435  -VIII шляхом викладення у новій редакції</t>
  </si>
  <si>
    <t xml:space="preserve">Рішення ЮМР від  04.03.2022 року  № 948-VIIІ з внесеними змінами від  23.08. 2023 року №  1438 -VIIІ шляхом викладення у новій редакції </t>
  </si>
  <si>
    <t xml:space="preserve">Рішення ЮМР від 22.09.2022  року  № 1078-VIIІз внесеними змінами від 23.08. 2023 року № 1439 -VIIІ шляхом викладення у новій редакції      </t>
  </si>
  <si>
    <t xml:space="preserve"> </t>
  </si>
  <si>
    <t>Надання бюджетних позичок суб'єктам господарювання</t>
  </si>
  <si>
    <t>Програма економічного і соціального розвитку Южненської  міської територіальної громади на 2023 рік</t>
  </si>
  <si>
    <t>Додаток 1</t>
  </si>
  <si>
    <t>Додаток 3</t>
  </si>
  <si>
    <t>Програма щодо відзначення, заохочення та вшанування пам"яті громадян, яким присвоєно звання "Почесний громадянин Южненської міської територіальної громади" та нагороджених Почесною відзнакою "За заслуги перед Южненською міською територіальною громадою" на 2023-2025 роки"</t>
  </si>
  <si>
    <t>( пункт 1.1)</t>
  </si>
  <si>
    <t>"Додаток 1</t>
  </si>
  <si>
    <t xml:space="preserve">"Про  бюджет Южненської міської  </t>
  </si>
  <si>
    <t>№ 1187-VIII</t>
  </si>
  <si>
    <t>(пункт 1)"</t>
  </si>
  <si>
    <t>Доходи місцевого бюджету на 2023 рік</t>
  </si>
  <si>
    <t>Найменування згідно з Класифікацією доходів бюджету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</si>
  <si>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</si>
  <si>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</si>
  <si>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</si>
  <si>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</si>
  <si>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</si>
  <si>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</si>
  <si>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</si>
  <si>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</si>
  <si>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</si>
  <si>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</si>
  <si>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</si>
  <si>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</si>
  <si>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14030000</t>
  </si>
  <si>
    <t>Акцизний податок з ввезених на митну територію України підакцизних товарів (продукції) 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</si>
  <si>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</si>
  <si>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</si>
  <si>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</si>
  <si>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</si>
  <si>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</si>
  <si>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</si>
  <si>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Податок на нерухоме майно, відмінне від земельної ділянки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</si>
  <si>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</si>
  <si>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</si>
  <si>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</si>
  <si>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</si>
  <si>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Плата за землю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</si>
  <si>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</si>
  <si>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</si>
  <si>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</si>
  <si>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</si>
  <si>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</si>
  <si>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</si>
  <si>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</si>
  <si>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</si>
  <si>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</si>
  <si>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</si>
  <si>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</si>
  <si>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</si>
  <si>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</si>
  <si>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</si>
  <si>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</si>
  <si>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</si>
  <si>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</si>
  <si>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</si>
  <si>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</si>
  <si>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</si>
  <si>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21081700</t>
  </si>
  <si>
    <t>Плата за встановлення земельного сервітуту</t>
  </si>
  <si>
    <t>22000000</t>
  </si>
  <si>
    <t>Адміністративні збори та платежі, доходи від некомерційної господарської діяльності 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</si>
  <si>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</si>
  <si>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</si>
  <si>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</si>
  <si>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</si>
  <si>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</si>
  <si>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</si>
  <si>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</si>
  <si>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</si>
  <si>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</si>
  <si>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</si>
  <si>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</si>
  <si>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</si>
  <si>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</si>
  <si>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</si>
  <si>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</si>
  <si>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</si>
  <si>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24170000</t>
  </si>
  <si>
    <t>Надходження коштів пайової участі у розвитку інфраструктури населеного пункту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</si>
  <si>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</si>
  <si>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</si>
  <si>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</si>
  <si>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</si>
  <si>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30000000</t>
  </si>
  <si>
    <t>Доходи від операцій з капіталом  </t>
  </si>
  <si>
    <t>31030000</t>
  </si>
  <si>
    <t>Кошти від відчуження майна, що належить Автономній Республіці Крим та майна, що перебуває в комунальній власності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</si>
  <si>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</si>
  <si>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</si>
  <si>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</si>
  <si>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</si>
  <si>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</si>
  <si>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</si>
  <si>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</si>
  <si>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</si>
  <si>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</si>
  <si>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</si>
  <si>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</si>
  <si>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</si>
  <si>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</si>
  <si>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</si>
  <si>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</si>
  <si>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</si>
  <si>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</si>
  <si>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</si>
  <si>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</si>
  <si>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</si>
  <si>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освіти)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</si>
  <si>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</si>
  <si>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 (пільгове медичне обслуговування громадян, які постраждали внаслідок Чорнобильської катастрофи)</t>
  </si>
  <si>
    <t>Інші субвенції з місцевого бюджету (видатки на поховання учасників бойових дій та осіб з інвалідністю внаслідок війни)</t>
  </si>
  <si>
    <t>Інші субвенції з місцевого бюджету (компенсаційні виплати особам з інвалідністю на бензин,ремонт,технічне обслуговування автомобілів, мотоколясок і на транспортне обслуговування)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</si>
  <si>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</si>
  <si>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Разом доходів</t>
  </si>
  <si>
    <t>"Додаток 3</t>
  </si>
  <si>
    <t>№  1187 - VIІІ</t>
  </si>
  <si>
    <t>( пункт 2)"</t>
  </si>
  <si>
    <t>РОЗПОДІЛ</t>
  </si>
  <si>
    <t>видатків місцевого бюджету на 2023 рік</t>
  </si>
  <si>
    <t>РАЗОМ</t>
  </si>
  <si>
    <t>видатки споживання</t>
  </si>
  <si>
    <t>з них</t>
  </si>
  <si>
    <t>видатки розвитку</t>
  </si>
  <si>
    <t>оплата праці з нарахуваннями 2110/2120</t>
  </si>
  <si>
    <t>комунальні послуги та енергоносії</t>
  </si>
  <si>
    <t>0217650</t>
  </si>
  <si>
    <t>7650</t>
  </si>
  <si>
    <t>Проведення експертної грошової оцінки земельної ділянки чи права на неї</t>
  </si>
  <si>
    <t>0217680</t>
  </si>
  <si>
    <t>7680</t>
  </si>
  <si>
    <t>Членські внески до асоціацій органів місцевого самоврядування</t>
  </si>
  <si>
    <t>8230</t>
  </si>
  <si>
    <t xml:space="preserve"> 
Заходи та роботи з територіальної оборони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</si>
  <si>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</si>
  <si>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</si>
  <si>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</si>
  <si>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0611031</t>
  </si>
  <si>
    <t>1031</t>
  </si>
  <si>
    <t>Надання загальної середньої освіти закладами загальної середньої освіти за рахунок  освітньої субвенції</t>
  </si>
  <si>
    <t>0611141</t>
  </si>
  <si>
    <t>1141</t>
  </si>
  <si>
    <t>Забезпечення діяльності інших закладів у сфері освіти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</si>
  <si>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</si>
  <si>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</si>
  <si>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</si>
  <si>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</si>
  <si>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</si>
  <si>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 (оплата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освіти)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</si>
  <si>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потребами(оплата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</si>
  <si>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</si>
  <si>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</si>
  <si>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</si>
  <si>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0810160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</si>
  <si>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</si>
  <si>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</si>
  <si>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</si>
  <si>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</si>
  <si>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</si>
  <si>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</si>
  <si>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</si>
  <si>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</si>
  <si>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</si>
  <si>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</si>
  <si>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</si>
  <si>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</si>
  <si>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</si>
  <si>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</si>
  <si>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</si>
  <si>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0813221</t>
  </si>
  <si>
    <t>3221</t>
  </si>
  <si>
    <t>1060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</si>
  <si>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</si>
  <si>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</si>
  <si>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</si>
  <si>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</si>
  <si>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</si>
  <si>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</si>
  <si>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</si>
  <si>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0910160</t>
  </si>
  <si>
    <t>1010160</t>
  </si>
  <si>
    <t>1014081</t>
  </si>
  <si>
    <t>4081</t>
  </si>
  <si>
    <t>Забезпечення діяльності інших закладів в галузі культури і мистецтва</t>
  </si>
  <si>
    <t>1015041</t>
  </si>
  <si>
    <t>5041</t>
  </si>
  <si>
    <t xml:space="preserve">Виконання окремих заходів з реалізації соціального проекту "Активні парки - локації здорової України"
</t>
  </si>
  <si>
    <t>1210000</t>
  </si>
  <si>
    <t>1210160</t>
  </si>
  <si>
    <t>1510000</t>
  </si>
  <si>
    <t>1510160</t>
  </si>
  <si>
    <t>1516012</t>
  </si>
  <si>
    <t>1600000</t>
  </si>
  <si>
    <t>1610000</t>
  </si>
  <si>
    <t>1610160</t>
  </si>
  <si>
    <t>2700000</t>
  </si>
  <si>
    <t>2710000</t>
  </si>
  <si>
    <t>2710160</t>
  </si>
  <si>
    <t>3100000</t>
  </si>
  <si>
    <t>3110000</t>
  </si>
  <si>
    <t>3110160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</si>
  <si>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</si>
  <si>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3117693</t>
  </si>
  <si>
    <t>3118311</t>
  </si>
  <si>
    <t>8311</t>
  </si>
  <si>
    <t>0511</t>
  </si>
  <si>
    <t>Охорона та раціональне використання природних ресурсів</t>
  </si>
  <si>
    <t>3700000</t>
  </si>
  <si>
    <t>Фінансове управління Южненської міської ради Одеського району Одеської області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</si>
  <si>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</si>
  <si>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</si>
  <si>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</si>
  <si>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</si>
  <si>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</si>
  <si>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</si>
  <si>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3719110</t>
  </si>
  <si>
    <t>9110</t>
  </si>
  <si>
    <t>Реверсна дотація</t>
  </si>
  <si>
    <t xml:space="preserve">                                     ( пункт 2)</t>
  </si>
  <si>
    <t xml:space="preserve">                                                                                                                                до  рішення Южненської міської ради</t>
  </si>
  <si>
    <t xml:space="preserve">                                                                                                                            "Про  бюджет Южненської міської </t>
  </si>
  <si>
    <t xml:space="preserve">                                                                                                                              територіальної громади  на 2023 рік"</t>
  </si>
  <si>
    <r>
      <t xml:space="preserve">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від 07 грудня  2022 року</t>
    </r>
  </si>
  <si>
    <r>
      <t xml:space="preserve">                                                                                         </t>
    </r>
    <r>
      <rPr>
        <u/>
        <sz val="12"/>
        <rFont val="Times New Roman"/>
        <family val="1"/>
        <charset val="204"/>
      </rPr>
      <t xml:space="preserve"> № 1187 -VIІІ</t>
    </r>
  </si>
  <si>
    <t>Міжбюджетні трансферти на 2023 рік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</si>
  <si>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</si>
  <si>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</si>
  <si>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</si>
  <si>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</si>
  <si>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99000000000</t>
  </si>
  <si>
    <t>Державний бюджет</t>
  </si>
  <si>
    <t>Обласний бюджет Одеської області</t>
  </si>
  <si>
    <t>15100000000</t>
  </si>
  <si>
    <t>ІІ. Трансферти до спеціального фонду бюджету</t>
  </si>
  <si>
    <t xml:space="preserve">УСЬОГО за розділом І та ІІ,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</si>
  <si>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</si>
  <si>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</si>
  <si>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</si>
  <si>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</si>
  <si>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</si>
  <si>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Інші субвенції  з місцевого бюджету</t>
  </si>
  <si>
    <t>1019770</t>
  </si>
  <si>
    <t xml:space="preserve">Районий бюджет Одеського району </t>
  </si>
  <si>
    <t>ІІ. Трансферти із спеціального фонду бюджету</t>
  </si>
  <si>
    <t>Додаток 6</t>
  </si>
  <si>
    <t>( пункт 2)</t>
  </si>
  <si>
    <t>"Додаток  10</t>
  </si>
  <si>
    <t xml:space="preserve">"Про бюджет  Южненської міської  </t>
  </si>
  <si>
    <t>територіальної громади на 2023 рік"</t>
  </si>
  <si>
    <t>(пункт 4)"</t>
  </si>
  <si>
    <t>Код 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</si>
  <si>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 згідно з Типовою програмною класифікацією видатків та кредитування місцевого бюджету</t>
  </si>
  <si>
    <t xml:space="preserve">Найменування  об'єкта  будівництва/вид будівельних робіт, у тому числі проектні роботи </t>
  </si>
  <si>
    <t>Загальна тривалість будівництва       ( рік початку і закінчення)</t>
  </si>
  <si>
    <t xml:space="preserve">Загальна вартість робіт, гривень </t>
  </si>
  <si>
    <t>Обсяг видатків бюджету розвитку, які спрямовані на будівництво об'єкта на початок бюджетного періоду, гривень</t>
  </si>
  <si>
    <t>Рівень виконання робіт на початок бюджетного періоду,%</t>
  </si>
  <si>
    <t>Обсяг видатків бюджету розвитку, які спрямовуються на будівництво об'єкта у бюджетному періоді, гривень</t>
  </si>
  <si>
    <t>Рівень  готовності об'єкта на кінець бюджетного періоду, %</t>
  </si>
  <si>
    <t>1</t>
  </si>
  <si>
    <t>2</t>
  </si>
  <si>
    <t>3</t>
  </si>
  <si>
    <t>5</t>
  </si>
  <si>
    <t>6</t>
  </si>
  <si>
    <t>7</t>
  </si>
  <si>
    <t>8</t>
  </si>
  <si>
    <t>9</t>
  </si>
  <si>
    <t>10</t>
  </si>
  <si>
    <t xml:space="preserve">Виконавчий комітет Южненської міської ради Одеського району Одеської області </t>
  </si>
  <si>
    <t>Придбання обладнання і предметів довгострокового користування</t>
  </si>
  <si>
    <t>Капітальні трансферти підприємствам (установам, організаціям)</t>
  </si>
  <si>
    <t xml:space="preserve">Видатки на проведення експертної грошової оцінки земельних ділянок, що підлягають продажу </t>
  </si>
  <si>
    <t>Капітальні трансферти органам державного управління інших рівнів</t>
  </si>
  <si>
    <t>(на погашення кредиторської заборгованості  станом на 01.01.23 р.)</t>
  </si>
  <si>
    <t>Капітальні трансферти населенню</t>
  </si>
  <si>
    <t xml:space="preserve">Управління житлово-комунального господарства Южненської міської ради Одеського району Одеської області </t>
  </si>
  <si>
    <t>Керівництво і управління у відповідній сфері у містах (місті Києві), селищах, селах,  територіальних громадах</t>
  </si>
  <si>
    <t>Придбання обладнання і предметів довгострокового користування (придбання насосів рециркуляції водогрійних котлів для котельні м.Южного - 2 од.)</t>
  </si>
  <si>
    <t>Капітальні трансферти органам державного управління інших рівнів (Капітальний ремонт з теплоізоляції огороджувальних конструкцій та внутрішніх інженерних систем багатоквартирного будинку за адресою: №26 по проспекту Миру, м.Южне, Одеської області (на умовах співфінансування  з місцевого бюджету у розмірі 10%))</t>
  </si>
  <si>
    <t xml:space="preserve">2021-2023 роки </t>
  </si>
  <si>
    <t xml:space="preserve">Управління капітального будівництва Южненської міської ради Одеського району Одеської області </t>
  </si>
  <si>
    <t>Капітальний ремонт покрівлі з утепленням  комунального закладу дошкільної освіти (ясла-садок) №3 «Веселка» комбінованого типу Южненської міської ради Одеського району Одеської області, за адресою: вул. Будівельників, 15 м. Южного Одеської області, у т.ч.:</t>
  </si>
  <si>
    <t>коригування проектно-вишукувальної документації</t>
  </si>
  <si>
    <t>2023 рік</t>
  </si>
  <si>
    <t>Капітальний ремонт частини підвального приміщення Ліцею № 1 Южненської міської ради Одеського району Одеської області з влаштуванням найпростішого укриття, що планується використовувати для укриття учасників освітнього процесу за адресою: просп. Миру, будинок 19-А м.Южне, Одеського району, Одеської області, в т.ч.:</t>
  </si>
  <si>
    <t xml:space="preserve">2022-2023 роки </t>
  </si>
  <si>
    <t>проектно-вишукувальні роботи</t>
  </si>
  <si>
    <t>Капітальний ремонт покрівлі спортивної зали комунального закладу загальної середньої освіти  «Авторська школа М.П. Гузика» Южненської міської ради Одеського  району Одеської області, за адресою: вул. Хіміків, 10-А м. Южного Одеської області, у т.ч.:</t>
  </si>
  <si>
    <t xml:space="preserve">Коригування проектної документації "Капітальний ремонт їдальні та харчоблоку комунального закладу  «Южненський навчально-виховний комплекс (загальноосвітня спеціалізована школа І-ІІІ ступенів №2-центр позашкільної освіти-професійно-технічне училище) Южненської міської ради Одеської області» за адресою просп. Миру, 18 м. Южного Одеської області" </t>
  </si>
  <si>
    <t xml:space="preserve">2020-2023 роки </t>
  </si>
  <si>
    <t>Капітальний ремонт  будівлі та елементів благоустрою щодо доступності осіб з інвалідністю та інших маломобільних груп населення КНП «Южненська  міська  лікарня»  Южненської  міської ради за адресою: Одеська обл., м. Южне, вул. Хіміків, 1</t>
  </si>
  <si>
    <t>Капітальний ремонт  будівлі та елементів благоустрою щодо доступності осіб з інвалідністю та інших маломобільних груп населення КНП «Южненська  міська  лікарня»  Южненської  міської ради за адресою: Одеська обл., м. Южне, вул. Будівельників, 19</t>
  </si>
  <si>
    <t>Проектні роботи: "Капітальний ремонт частини підвального приміщення закладу охорони здоров'я з влаштуванням найпростішого укриття, що розміщується за адресою: Одеська область, Одеський район, м. Южне, вул. Будівельників, 19"</t>
  </si>
  <si>
    <t>Капітальний ремонт котельні селищного клубу розташованого за адресою: вул. Театральна, 4, смт Нові Білярі, Одеського району, Одеської області, в т.ч.:</t>
  </si>
  <si>
    <t>проектні роботи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</si>
  <si>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 Южне, пл.Перемоги, 1, у т.ч.:</t>
  </si>
  <si>
    <t xml:space="preserve"> проектні роботи</t>
  </si>
  <si>
    <t>Капітальний ремонт ділянки теплових мереж від ЦТП №29 до вводу у житлові будинки по просп. Григорівського десанту,26,28,30/16, вул. Хіміків,18,будівель по просп. Григорівського десанту,26а та 24а м.Южного Одеської області,в т.ч.:</t>
  </si>
  <si>
    <t>2020,2023 роки</t>
  </si>
  <si>
    <t>коригування проектної документації</t>
  </si>
  <si>
    <t>Капітальний ремонт ділянки теплових мереж від ТК-17 до ЦТП №24 м. Южного Одеської області</t>
  </si>
  <si>
    <t>2019-2023 роки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</si>
  <si>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області, у т.ч.:</t>
  </si>
  <si>
    <t>Проектні роботи "Нове будівництво мереж зливової каналізації з відновленням благоустрою біля будівлі за адресою: Одеська область, Одеський район, м.Южне, вул. Приморська, 19-Б"</t>
  </si>
  <si>
    <t>Коригування проекту "Реконструкція водопровідного колектору від ВНС до вул. Хіміків м. Южного Одеської області"</t>
  </si>
  <si>
    <t>Реконструкція внутрішньоквартального проїзду від проспекту Миру до проспекту Григорівського десанту м. Южного Одеської області, в т.ч.: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</si>
  <si>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</si>
  <si>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Реконструкція благоустрою загальноміських територій з влаштуванням дитячого майданчику на території Приморського парку м. Южного Одеської області</t>
  </si>
  <si>
    <t>Реконструкція благоустрою загальноміських територій з влаштуванням дитячого майданчику між житловими будинками по просп.Григорівського десанту,12 та просп.Григорівського десанту,14 м.Южного Одеської області</t>
  </si>
  <si>
    <t>'Організація благоустрою населених пунктів</t>
  </si>
  <si>
    <t xml:space="preserve">Проєктно-вишукувальні роботи " Будівництво водного пандусу для осіб з обмеженими фізичними можливостями на території пляжної зони м.Южного Одеської області" </t>
  </si>
  <si>
    <t>Проектно-вишукувальні роботи "Реконструкція будівлі з прибудовою та надбудовою додаткових приміщень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 м. Южного Одеської області"</t>
  </si>
  <si>
    <t>Реконструкція системи медичного газопостачання з влаштуванням майданчика під джерела медичних газів  КНП "Южненська міська лікарня" Южненської міської ради за адресою:Одеська область, Одеський район, м. Южне, вул. Хіміків, 1, у т.ч.:</t>
  </si>
  <si>
    <t>Реконструкція системи газопостачання в Сичавському будинку культури Одеського району Одеської області, за адресою: с.Сичавка, вул.Цветаєва 2А, в т.ч.:</t>
  </si>
  <si>
    <t>Реконструкція нежитлових приміщень № 2-7, № 9-13 та № 17-39 в житлові, які розташовані на першому поверсі гуртожитку  для розміщення внутрішньо переміщених (евакуйованих) осіб за адресою: Одеська область, Одеський район, м. Южне, вул. Новобілярська, 26-Б</t>
  </si>
  <si>
    <t>Реконструкція будівлі адміністративного приміщення для розміщення внутрішньо переміщених (евакуйованих) осіб зі створенням  на другому та третьому поверхах гуртожитку за адресою: Одеська область, Одеський район, смт. Нові Білярі, вул. Лиманна,  2, в т.ч.:</t>
  </si>
  <si>
    <t>Реконструкція проїжджої частини дороги за ПК "Дружба" м.Южного Одеської області в т.ч.: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</si>
  <si>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т.ч:</t>
  </si>
  <si>
    <t>Капітальний ремонт автоматичної системи протипожежного захисту в будівлі комунальної власності по вул. Новобілярській, буд. 26-Б, м.Южного Одеської області</t>
  </si>
  <si>
    <t>Проектно-вишукувальні роботи "Капітальний ремонт частини будівлі та прибудинкової території за адресою: вул. Хіміків, 17, м.Южного Одеської області"</t>
  </si>
  <si>
    <t>Проектні роботи: "Капітальний ремонт частини приміщень нежитлової будівлі , яка розташована за адресою: Одеська область, Одеський район, м. Южне, проспект Григорівського десанту, 25"</t>
  </si>
  <si>
    <t>Розроблення Комплексного плану просторового розвитку території Южненської міської територіальної громади</t>
  </si>
  <si>
    <t>Виготовлення проектів землеустрою щодо відведення земельних ділянок для продажу їх оренди на земельних торгах</t>
  </si>
  <si>
    <t>4</t>
  </si>
  <si>
    <t>0217660</t>
  </si>
  <si>
    <t>0+N27:N29</t>
  </si>
  <si>
    <t>Проведення експертної грошової оцінки земельної ділянки (кадастровий номер 5111700000:02:006:0256), яка підлягає продажу на земельних торгах у формі аукціону</t>
  </si>
  <si>
    <t>Проектні роботи: "Капітальний ремонт покрівлі будівлі АБК і РММ на котельні за адресою: аул. Старомиколаївське шосе, 8 м. Южного Одеського району Одеської області"</t>
  </si>
  <si>
    <t>Коригування проектно-вишукувальної документації "Капітальний ремонт проїжджої частини вул. Приморської від вул. Будівельників до просп. Григорівського десанту м. Южного Одеської області"</t>
  </si>
  <si>
    <t>Додаток 7</t>
  </si>
  <si>
    <t>Проектні роботи: "Капітальний ремонт частини  підвального приміщення з влаштуванням споруд подвійного призначення з властивостями найпростішого  укриття блоку № 3, що планується використовувати для укриття учасників освітнього процесу Ліцею № 1 Южненської міської ради Одеського району Одеської області за адресою: просп. Миру, будинок 19-А, м .Южне, Одеського району, Одеської області"</t>
  </si>
  <si>
    <t>Рішення ЮМР від 22.12.2020 року № 42-VIІI з внесеними змінами  від 26.10. 2023 року  № 1499-VIІI шляхом викладення у новій редакції</t>
  </si>
  <si>
    <t>Рішення ЮМР від 22.07.2021 року № 473-VІІІ з внесеними змінами від 26.10. 2023 року № 1502  -VІІІ шляхом викладення у новій редакції</t>
  </si>
  <si>
    <t xml:space="preserve">Рішення ЮМР від 18.06.2020 року № 1758-VII з внесеними змінами  від  26.10. 2023 року  №1504  -VIIІ  шляхом викладення у новій редакції </t>
  </si>
  <si>
    <t xml:space="preserve">Рішення ЮМР від 07.03.2023 року № 1299-VIIІ  з внесеними змінами  від 26.10. 2023 року   № 1508  -VIIІ  шляхом викладення у новій редакції </t>
  </si>
  <si>
    <t>Рішення ЮМР від 23.12.2021 року  №  900-VIIІ з внесеними змінами від 26.10. 2023 року № 1510  -VIIІ шляхом викладення у новій редакції</t>
  </si>
  <si>
    <t>Рішення Южненської міської ради від 20.08.2020 року №1828-VII з внесеними змінами від 27.07.2023року  № 1419 -VIIІ шляхом викладення у новій редакції</t>
  </si>
  <si>
    <t>Рішення Южненської міської ради від 19.09.2019 року № 1529-VII з внесеними змінами від 26.10. 2023 року  № 1517 -VIIІ шляхом викладення у новій редакції</t>
  </si>
  <si>
    <t>Рішення ЮМР від 20.08.2020 року №1853-VІI з внесеними змінами від 26.10. 2023 року  № 1519  -VIIІ шляхом викладення у новій редакції</t>
  </si>
  <si>
    <t>( пункти 1.3)</t>
  </si>
  <si>
    <t>( пункт 1.5)</t>
  </si>
  <si>
    <t>1216012</t>
  </si>
  <si>
    <t>0611271</t>
  </si>
  <si>
    <t>0611272</t>
  </si>
  <si>
    <t>1272</t>
  </si>
  <si>
    <t>1271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</si>
  <si>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</si>
  <si>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</si>
  <si>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 xml:space="preserve">Рішення ЮМР від 30.09.2021 року № 604-VIІІ з внесеними змінами  від     .12.2022 року №         -VIII шляхом викладення  у новій редакції  </t>
  </si>
  <si>
    <t>від 07 грудня 2022 року</t>
  </si>
  <si>
    <t xml:space="preserve">Перелік об'єктів, видатки по яких планується здійснювати у 2023 році на природоохоронні заходи  </t>
  </si>
  <si>
    <t>Найменування  заходу</t>
  </si>
  <si>
    <t>Обсяг видатків на бюджетний період</t>
  </si>
  <si>
    <t>Управління житлово-комунального господарства                                Южненської міської ради Одеського району Одеської області</t>
  </si>
  <si>
    <t>Озеленення території Южненської міської територіальної громади   у т.ч.</t>
  </si>
  <si>
    <t xml:space="preserve">Придбання пластикових сміттєприймальних контейнерів, об'ємом 240 л (5 шт)                                         </t>
  </si>
  <si>
    <t xml:space="preserve">Придбання пластикових сміттєприймальних контейнерів, об"ємом 1,1 м³ (5 шт)                                         </t>
  </si>
  <si>
    <t xml:space="preserve">Придбання урн вуличних об'ємом 30 л        (5 шт)                                         </t>
  </si>
  <si>
    <t xml:space="preserve">Придбання інформаційних щитів (20  шт)                                         </t>
  </si>
  <si>
    <t>0618340</t>
  </si>
  <si>
    <t>Забезпечення екологічно безпеченого збирання, перевезення та утилізація відпраацьованих побутових ламп розжарювання</t>
  </si>
  <si>
    <t>Транспортний податок з фізичних осіб</t>
  </si>
  <si>
    <t xml:space="preserve">Проектні роботи «Нове будівництво колумбарію на території Южненського кладовища, за адресою: 65481, Одеська область, Одеський район, Южненська територіальна громада, м.Южне, Южненське кладовище </t>
  </si>
  <si>
    <t>(пункт 6)"</t>
  </si>
  <si>
    <t>2719770</t>
  </si>
  <si>
    <t>Рішення Южненської міської ради від 20.08.2020 року №1828-VII з внесеними змінами від       .12.2023року  №            -VIIІ шляхом викладення у новій редакції</t>
  </si>
  <si>
    <t>Рішення ЮМР від 07.12.2022року               №1177-VIIІ з внесеними змінами від   14.12. 2023 року   № 1602 -VIII шляхом викладення у новій редакції</t>
  </si>
  <si>
    <t>Рішення ЮМР від 22.07.2021 року № 479-VIIІ з внесеними змінами від 14 .12.2023 року № 1564 -VIIІ шляхом викладення у новій редакції</t>
  </si>
  <si>
    <t>Рішення ЮМР від 28.10.2022 року  №  1121-VIIІ з внесеними змінами від  14.12. 2023 року № 1565 -VIIІ шляхом викладення у новій редакції</t>
  </si>
  <si>
    <t xml:space="preserve">Рішення ЮМР від 22.12.2020 року № 64-VIIІ з внесеними змінами   від  14 .12. 2023 року № 1566 -VIIІ шляхом викладення у новій редакції </t>
  </si>
  <si>
    <t>Рішення ЮМР від 22.07.2021 року № 470-VІІІ з внесеними змінами  від 14 .12. 2023 року № 1560 -VIIІ  , шляхом викладення у новій редакції</t>
  </si>
  <si>
    <t>Рішення ЮМР від 25.07.2019 року №1438-VII з внесеними змінами  від  14.12. 2023  року № 1571 -VIII, шляхом викладення у новій редакції</t>
  </si>
  <si>
    <t>Рішення ЮМР від 01.12.2022 року № 1130 -VIIІ з внесеними змінами та доповненнями від  14 .12. 2023 року №  1599 -VIIІ</t>
  </si>
  <si>
    <t xml:space="preserve">Розподіл коштів бюджету розвитку на  2023 рік </t>
  </si>
  <si>
    <t xml:space="preserve">                                                                                           до рішення Южненської міської ради</t>
  </si>
  <si>
    <t xml:space="preserve">                                                                                  Додаток 4</t>
  </si>
  <si>
    <t xml:space="preserve">                                                                                                   "Додаток 5</t>
  </si>
  <si>
    <t xml:space="preserve">                                              ( пункт 3)"</t>
  </si>
  <si>
    <t>Додаток 5</t>
  </si>
  <si>
    <t>від 16 лютого  2024 року</t>
  </si>
  <si>
    <t>№ 1646-VIII</t>
  </si>
  <si>
    <t>Южненський міський голова</t>
  </si>
  <si>
    <t>Володимир НОВАЦЬКИЙ</t>
  </si>
  <si>
    <t>від 16 лютого 2024 року</t>
  </si>
  <si>
    <t xml:space="preserve">                                                                      від 16 лютого  2024 року</t>
  </si>
  <si>
    <r>
      <t xml:space="preserve">                                              </t>
    </r>
    <r>
      <rPr>
        <u/>
        <sz val="14"/>
        <rFont val="Times New Roman"/>
        <family val="1"/>
        <charset val="204"/>
      </rPr>
      <t xml:space="preserve"> № 1646-VIII</t>
    </r>
  </si>
  <si>
    <t xml:space="preserve">Южненський міський голова                                                                                                     Володимир НОВАЦЬКИЙ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</si>
</sst>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\-#,##0;#,&quot;-&quot;"/>
    <numFmt numFmtId="165" formatCode="_-* #,##0.00\ _г_р_н_._-;\-* #,##0.00\ _г_р_н_._-;_-* &quot;-&quot;??\ _г_р_н_._-;_-@_-"/>
    <numFmt numFmtId="166" formatCode="#,##0.00;[Red]#,##0.00"/>
    <numFmt numFmtId="167" formatCode="_-* #,##0\ _г_р_н_._-;\-* #,##0\ _г_р_н_._-;_-* &quot;-&quot;??\ _г_р_н_._-;_-@_-"/>
    <numFmt numFmtId="168" formatCode="0.0%"/>
  </numFmts>
  <fonts count="60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Arial Cyr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0" fontId="12" fillId="0" borderId="0"/>
    <xf numFmtId="0" fontId="11" fillId="0" borderId="0"/>
  </cellStyleXfs>
  <cellXfs count="109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vertical="center" wrapText="1"/>
    </xf>
    <xf numFmtId="164" fontId="6" fillId="2" borderId="15" xfId="0" applyNumberFormat="1" applyFont="1" applyFill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quotePrefix="1" applyFont="1" applyBorder="1" applyAlignment="1">
      <alignment vertical="center" wrapText="1"/>
    </xf>
    <xf numFmtId="164" fontId="5" fillId="2" borderId="18" xfId="0" applyNumberFormat="1" applyFont="1" applyFill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12" xfId="0" quotePrefix="1" applyFont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164" fontId="8" fillId="2" borderId="18" xfId="0" applyNumberFormat="1" applyFont="1" applyFill="1" applyBorder="1" applyAlignment="1">
      <alignment horizontal="right" vertical="center"/>
    </xf>
    <xf numFmtId="164" fontId="8" fillId="0" borderId="18" xfId="0" applyNumberFormat="1" applyFont="1" applyBorder="1" applyAlignment="1">
      <alignment horizontal="right" vertical="center"/>
    </xf>
    <xf numFmtId="164" fontId="8" fillId="0" borderId="19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vertical="center" wrapText="1"/>
    </xf>
    <xf numFmtId="164" fontId="8" fillId="2" borderId="7" xfId="0" applyNumberFormat="1" applyFont="1" applyFill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quotePrefix="1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5" fillId="0" borderId="1" xfId="0" quotePrefix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31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0" fontId="5" fillId="2" borderId="5" xfId="0" quotePrefix="1" applyFont="1" applyFill="1" applyBorder="1" applyAlignment="1">
      <alignment vertical="center" wrapText="1"/>
    </xf>
    <xf numFmtId="164" fontId="6" fillId="2" borderId="25" xfId="0" applyNumberFormat="1" applyFont="1" applyFill="1" applyBorder="1" applyAlignment="1">
      <alignment horizontal="right" vertical="center"/>
    </xf>
    <xf numFmtId="0" fontId="5" fillId="0" borderId="31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 wrapText="1"/>
    </xf>
    <xf numFmtId="164" fontId="8" fillId="2" borderId="10" xfId="0" applyNumberFormat="1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16" fillId="2" borderId="10" xfId="0" applyNumberFormat="1" applyFont="1" applyFill="1" applyBorder="1" applyAlignment="1">
      <alignment horizontal="right"/>
    </xf>
    <xf numFmtId="164" fontId="16" fillId="2" borderId="10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 wrapText="1"/>
    </xf>
    <xf numFmtId="164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/>
    <xf numFmtId="164" fontId="6" fillId="2" borderId="15" xfId="0" applyNumberFormat="1" applyFont="1" applyFill="1" applyBorder="1" applyAlignment="1">
      <alignment horizontal="right"/>
    </xf>
    <xf numFmtId="164" fontId="16" fillId="2" borderId="16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3" fontId="17" fillId="0" borderId="0" xfId="0" applyNumberFormat="1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top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0" xfId="0" applyNumberFormat="1" applyFont="1" applyBorder="1" applyAlignment="1">
      <alignment horizontal="left" vertical="center"/>
    </xf>
    <xf numFmtId="2" fontId="18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6" fillId="0" borderId="36" xfId="0" quotePrefix="1" applyFont="1" applyBorder="1" applyAlignment="1">
      <alignment vertical="center" wrapText="1"/>
    </xf>
    <xf numFmtId="0" fontId="5" fillId="0" borderId="23" xfId="0" quotePrefix="1" applyFont="1" applyBorder="1" applyAlignment="1">
      <alignment vertical="center" wrapText="1"/>
    </xf>
    <xf numFmtId="0" fontId="8" fillId="0" borderId="33" xfId="0" quotePrefix="1" applyFont="1" applyBorder="1" applyAlignment="1">
      <alignment vertical="center" wrapText="1"/>
    </xf>
    <xf numFmtId="0" fontId="5" fillId="2" borderId="31" xfId="0" quotePrefix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3" xfId="0" quotePrefix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right" vertical="center"/>
    </xf>
    <xf numFmtId="0" fontId="5" fillId="0" borderId="27" xfId="0" quotePrefix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9" xfId="0" quotePrefix="1" applyFont="1" applyBorder="1" applyAlignment="1">
      <alignment vertical="center" wrapText="1"/>
    </xf>
    <xf numFmtId="0" fontId="5" fillId="0" borderId="21" xfId="0" quotePrefix="1" applyFont="1" applyBorder="1" applyAlignment="1">
      <alignment vertical="center" wrapText="1"/>
    </xf>
    <xf numFmtId="164" fontId="5" fillId="2" borderId="21" xfId="0" applyNumberFormat="1" applyFont="1" applyFill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49" fontId="7" fillId="0" borderId="4" xfId="0" applyNumberFormat="1" applyFont="1" applyBorder="1" applyAlignment="1">
      <alignment vertical="center"/>
    </xf>
    <xf numFmtId="0" fontId="0" fillId="0" borderId="0" xfId="0" applyBorder="1"/>
    <xf numFmtId="49" fontId="7" fillId="0" borderId="0" xfId="0" applyNumberFormat="1" applyFont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7" xfId="0" quotePrefix="1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2" xfId="0" quotePrefix="1" applyNumberFormat="1" applyFont="1" applyFill="1" applyBorder="1" applyAlignment="1">
      <alignment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5" fillId="2" borderId="41" xfId="0" quotePrefix="1" applyFont="1" applyFill="1" applyBorder="1" applyAlignment="1">
      <alignment vertical="center" wrapText="1"/>
    </xf>
    <xf numFmtId="0" fontId="5" fillId="0" borderId="27" xfId="0" quotePrefix="1" applyFont="1" applyBorder="1" applyAlignment="1">
      <alignment vertical="center" wrapText="1"/>
    </xf>
    <xf numFmtId="49" fontId="5" fillId="0" borderId="12" xfId="0" quotePrefix="1" applyNumberFormat="1" applyFont="1" applyFill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right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vertical="center" wrapText="1"/>
    </xf>
    <xf numFmtId="164" fontId="6" fillId="2" borderId="29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2" borderId="18" xfId="0" quotePrefix="1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  <xf numFmtId="164" fontId="5" fillId="2" borderId="25" xfId="0" applyNumberFormat="1" applyFont="1" applyFill="1" applyBorder="1" applyAlignment="1">
      <alignment horizontal="right" vertical="center"/>
    </xf>
    <xf numFmtId="164" fontId="8" fillId="0" borderId="30" xfId="0" applyNumberFormat="1" applyFont="1" applyBorder="1" applyAlignment="1">
      <alignment horizontal="right" vertical="center"/>
    </xf>
    <xf numFmtId="0" fontId="7" fillId="2" borderId="1" xfId="0" quotePrefix="1" applyFont="1" applyFill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164" fontId="7" fillId="0" borderId="1" xfId="0" applyNumberFormat="1" applyFont="1" applyBorder="1" applyAlignment="1">
      <alignment horizontal="right" vertical="center"/>
    </xf>
    <xf numFmtId="164" fontId="5" fillId="0" borderId="27" xfId="0" applyNumberFormat="1" applyFont="1" applyBorder="1" applyAlignment="1">
      <alignment horizontal="right" vertical="center"/>
    </xf>
    <xf numFmtId="164" fontId="5" fillId="0" borderId="28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164" fontId="5" fillId="2" borderId="2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vertical="top" wrapText="1"/>
    </xf>
    <xf numFmtId="0" fontId="6" fillId="0" borderId="25" xfId="0" applyFont="1" applyBorder="1" applyAlignment="1">
      <alignment horizontal="center" vertical="center" wrapText="1"/>
    </xf>
    <xf numFmtId="0" fontId="6" fillId="0" borderId="38" xfId="0" quotePrefix="1" applyFont="1" applyBorder="1" applyAlignment="1">
      <alignment vertical="center" wrapText="1"/>
    </xf>
    <xf numFmtId="0" fontId="6" fillId="0" borderId="25" xfId="0" quotePrefix="1" applyFont="1" applyBorder="1" applyAlignment="1">
      <alignment vertical="center" wrapText="1"/>
    </xf>
    <xf numFmtId="164" fontId="6" fillId="0" borderId="25" xfId="0" applyNumberFormat="1" applyFont="1" applyBorder="1" applyAlignment="1">
      <alignment horizontal="right" vertical="center"/>
    </xf>
    <xf numFmtId="164" fontId="6" fillId="0" borderId="29" xfId="0" applyNumberFormat="1" applyFont="1" applyBorder="1" applyAlignment="1">
      <alignment horizontal="right" vertical="center"/>
    </xf>
    <xf numFmtId="0" fontId="5" fillId="0" borderId="37" xfId="0" quotePrefix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49" fontId="5" fillId="2" borderId="27" xfId="0" applyNumberFormat="1" applyFont="1" applyFill="1" applyBorder="1" applyAlignment="1">
      <alignment horizontal="center" vertical="center" wrapText="1"/>
    </xf>
    <xf numFmtId="0" fontId="5" fillId="0" borderId="15" xfId="0" quotePrefix="1" applyFont="1" applyFill="1" applyBorder="1" applyAlignment="1">
      <alignment vertical="center" wrapText="1"/>
    </xf>
    <xf numFmtId="0" fontId="5" fillId="0" borderId="7" xfId="0" quotePrefix="1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0" fontId="16" fillId="0" borderId="9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164" fontId="5" fillId="0" borderId="1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16" fillId="0" borderId="10" xfId="0" applyNumberFormat="1" applyFont="1" applyFill="1" applyBorder="1" applyAlignment="1">
      <alignment horizontal="right" vertical="center"/>
    </xf>
    <xf numFmtId="0" fontId="28" fillId="0" borderId="0" xfId="0" applyFont="1"/>
    <xf numFmtId="0" fontId="6" fillId="0" borderId="1" xfId="0" applyFont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wrapText="1"/>
    </xf>
    <xf numFmtId="164" fontId="22" fillId="0" borderId="0" xfId="0" applyNumberFormat="1" applyFont="1" applyFill="1"/>
    <xf numFmtId="0" fontId="22" fillId="0" borderId="0" xfId="0" applyFont="1" applyFill="1"/>
    <xf numFmtId="0" fontId="5" fillId="0" borderId="1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Fill="1"/>
    <xf numFmtId="0" fontId="16" fillId="0" borderId="1" xfId="0" applyFont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right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3" fontId="7" fillId="0" borderId="18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10" fillId="0" borderId="5" xfId="0" applyNumberFormat="1" applyFont="1" applyFill="1" applyBorder="1" applyAlignment="1">
      <alignment vertical="center" wrapText="1"/>
    </xf>
    <xf numFmtId="3" fontId="10" fillId="0" borderId="10" xfId="0" applyNumberFormat="1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164" fontId="5" fillId="0" borderId="27" xfId="0" applyNumberFormat="1" applyFont="1" applyFill="1" applyBorder="1" applyAlignment="1">
      <alignment horizontal="right" vertical="center"/>
    </xf>
    <xf numFmtId="164" fontId="5" fillId="0" borderId="28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horizontal="right" vertical="center"/>
    </xf>
    <xf numFmtId="164" fontId="6" fillId="0" borderId="16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4" fillId="0" borderId="0" xfId="0" quotePrefix="1" applyFont="1" applyFill="1" applyAlignment="1">
      <alignment horizontal="center" vertical="center"/>
    </xf>
    <xf numFmtId="0" fontId="1" fillId="0" borderId="0" xfId="0" applyFont="1" applyFill="1"/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quotePrefix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right" vertical="center" wrapText="1"/>
    </xf>
    <xf numFmtId="164" fontId="6" fillId="0" borderId="15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quotePrefix="1" applyFont="1" applyFill="1" applyBorder="1" applyAlignment="1">
      <alignment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right" vertical="center" wrapText="1"/>
    </xf>
    <xf numFmtId="164" fontId="8" fillId="0" borderId="19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5" fillId="0" borderId="12" xfId="0" quotePrefix="1" applyNumberFormat="1" applyFont="1" applyFill="1" applyBorder="1" applyAlignment="1">
      <alignment vertical="top" wrapText="1"/>
    </xf>
    <xf numFmtId="164" fontId="5" fillId="0" borderId="12" xfId="0" applyNumberFormat="1" applyFont="1" applyFill="1" applyBorder="1" applyAlignment="1">
      <alignment vertical="center"/>
    </xf>
    <xf numFmtId="164" fontId="5" fillId="0" borderId="27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19" xfId="0" applyNumberFormat="1" applyFont="1" applyFill="1" applyBorder="1" applyAlignment="1">
      <alignment vertical="center"/>
    </xf>
    <xf numFmtId="0" fontId="8" fillId="0" borderId="0" xfId="0" applyFont="1" applyFill="1"/>
    <xf numFmtId="49" fontId="7" fillId="0" borderId="17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164" fontId="5" fillId="0" borderId="18" xfId="0" applyNumberFormat="1" applyFont="1" applyFill="1" applyBorder="1" applyAlignment="1">
      <alignment vertical="center"/>
    </xf>
    <xf numFmtId="49" fontId="5" fillId="0" borderId="1" xfId="0" quotePrefix="1" applyNumberFormat="1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quotePrefix="1" applyFont="1" applyFill="1" applyBorder="1" applyAlignment="1">
      <alignment vertical="center" wrapText="1"/>
    </xf>
    <xf numFmtId="164" fontId="5" fillId="0" borderId="21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horizontal="right" vertical="center"/>
    </xf>
    <xf numFmtId="164" fontId="5" fillId="0" borderId="22" xfId="0" applyNumberFormat="1" applyFont="1" applyFill="1" applyBorder="1" applyAlignment="1">
      <alignment vertical="center"/>
    </xf>
    <xf numFmtId="0" fontId="6" fillId="0" borderId="0" xfId="0" applyFont="1" applyFill="1"/>
    <xf numFmtId="0" fontId="5" fillId="0" borderId="1" xfId="0" quotePrefix="1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center" vertical="center" wrapText="1"/>
    </xf>
    <xf numFmtId="164" fontId="5" fillId="0" borderId="28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vertical="top" wrapText="1"/>
    </xf>
    <xf numFmtId="49" fontId="5" fillId="0" borderId="1" xfId="0" quotePrefix="1" applyNumberFormat="1" applyFont="1" applyFill="1" applyBorder="1" applyAlignment="1">
      <alignment horizontal="left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7" xfId="0" quotePrefix="1" applyNumberFormat="1" applyFont="1" applyFill="1" applyBorder="1" applyAlignment="1">
      <alignment horizontal="left" vertical="center" wrapText="1"/>
    </xf>
    <xf numFmtId="164" fontId="5" fillId="0" borderId="19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 wrapText="1"/>
    </xf>
    <xf numFmtId="3" fontId="5" fillId="0" borderId="2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3" fontId="19" fillId="0" borderId="0" xfId="0" applyNumberFormat="1" applyFont="1" applyFill="1" applyAlignment="1">
      <alignment horizontal="left" vertical="center"/>
    </xf>
    <xf numFmtId="2" fontId="18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166" fontId="30" fillId="0" borderId="0" xfId="0" applyNumberFormat="1" applyFont="1" applyFill="1"/>
    <xf numFmtId="164" fontId="5" fillId="0" borderId="0" xfId="0" applyNumberFormat="1" applyFont="1" applyFill="1"/>
    <xf numFmtId="0" fontId="31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right" vertical="center"/>
    </xf>
    <xf numFmtId="0" fontId="34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42" xfId="0" applyFont="1" applyBorder="1" applyAlignment="1">
      <alignment horizontal="center" vertical="top" wrapText="1"/>
    </xf>
    <xf numFmtId="0" fontId="20" fillId="0" borderId="40" xfId="0" applyFont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top" wrapText="1"/>
    </xf>
    <xf numFmtId="0" fontId="20" fillId="0" borderId="45" xfId="0" applyFont="1" applyFill="1" applyBorder="1" applyAlignment="1">
      <alignment horizontal="center" vertical="top" wrapText="1"/>
    </xf>
    <xf numFmtId="0" fontId="27" fillId="0" borderId="44" xfId="0" applyFont="1" applyFill="1" applyBorder="1" applyAlignment="1">
      <alignment horizontal="center" vertical="center"/>
    </xf>
    <xf numFmtId="3" fontId="27" fillId="0" borderId="45" xfId="0" applyNumberFormat="1" applyFont="1" applyFill="1" applyBorder="1" applyAlignment="1">
      <alignment horizontal="center" vertical="center"/>
    </xf>
    <xf numFmtId="0" fontId="35" fillId="0" borderId="0" xfId="0" applyFont="1"/>
    <xf numFmtId="0" fontId="20" fillId="0" borderId="32" xfId="0" applyFont="1" applyFill="1" applyBorder="1" applyAlignment="1">
      <alignment horizontal="center" vertical="center"/>
    </xf>
    <xf numFmtId="3" fontId="20" fillId="0" borderId="45" xfId="0" applyNumberFormat="1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Continuous" vertical="center" wrapText="1"/>
    </xf>
    <xf numFmtId="0" fontId="27" fillId="0" borderId="5" xfId="0" applyFont="1" applyFill="1" applyBorder="1" applyAlignment="1">
      <alignment horizontal="centerContinuous" vertical="center"/>
    </xf>
    <xf numFmtId="3" fontId="27" fillId="0" borderId="34" xfId="0" applyNumberFormat="1" applyFont="1" applyFill="1" applyBorder="1" applyAlignment="1">
      <alignment horizontal="center" vertical="center"/>
    </xf>
    <xf numFmtId="3" fontId="20" fillId="0" borderId="34" xfId="0" applyNumberFormat="1" applyFont="1" applyFill="1" applyBorder="1" applyAlignment="1">
      <alignment horizontal="center" vertical="center"/>
    </xf>
    <xf numFmtId="1" fontId="27" fillId="0" borderId="34" xfId="0" applyNumberFormat="1" applyFont="1" applyFill="1" applyBorder="1" applyAlignment="1">
      <alignment horizontal="center" vertical="center"/>
    </xf>
    <xf numFmtId="1" fontId="20" fillId="0" borderId="34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 applyProtection="1">
      <alignment horizontal="center" vertical="center"/>
    </xf>
    <xf numFmtId="3" fontId="18" fillId="0" borderId="10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31" fillId="0" borderId="9" xfId="0" applyNumberFormat="1" applyFont="1" applyFill="1" applyBorder="1" applyAlignment="1">
      <alignment horizontal="center" vertical="center" wrapText="1"/>
    </xf>
    <xf numFmtId="3" fontId="31" fillId="0" borderId="10" xfId="0" applyNumberFormat="1" applyFont="1" applyFill="1" applyBorder="1" applyAlignment="1">
      <alignment horizontal="center" vertical="center" wrapText="1"/>
    </xf>
    <xf numFmtId="3" fontId="18" fillId="0" borderId="28" xfId="0" applyNumberFormat="1" applyFont="1" applyFill="1" applyBorder="1" applyAlignment="1">
      <alignment horizontal="center" vertical="center" wrapText="1"/>
    </xf>
    <xf numFmtId="49" fontId="31" fillId="0" borderId="44" xfId="0" applyNumberFormat="1" applyFont="1" applyFill="1" applyBorder="1" applyAlignment="1">
      <alignment horizontal="center" vertical="center" wrapText="1"/>
    </xf>
    <xf numFmtId="0" fontId="31" fillId="0" borderId="41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3" fontId="31" fillId="0" borderId="45" xfId="0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 wrapText="1"/>
    </xf>
    <xf numFmtId="164" fontId="20" fillId="0" borderId="45" xfId="0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27" fillId="0" borderId="3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left" vertical="center"/>
    </xf>
    <xf numFmtId="3" fontId="27" fillId="0" borderId="34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34" fillId="0" borderId="0" xfId="0" applyFont="1" applyBorder="1"/>
    <xf numFmtId="0" fontId="20" fillId="0" borderId="9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3" fontId="27" fillId="0" borderId="10" xfId="0" applyNumberFormat="1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Continuous" vertical="center"/>
    </xf>
    <xf numFmtId="0" fontId="27" fillId="0" borderId="1" xfId="0" applyFont="1" applyFill="1" applyBorder="1" applyAlignment="1">
      <alignment horizontal="centerContinuous" vertical="center"/>
    </xf>
    <xf numFmtId="0" fontId="27" fillId="0" borderId="1" xfId="0" applyFont="1" applyFill="1" applyBorder="1" applyAlignment="1">
      <alignment horizontal="centerContinuous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Continuous" vertical="center"/>
    </xf>
    <xf numFmtId="0" fontId="20" fillId="0" borderId="12" xfId="0" applyFont="1" applyFill="1" applyBorder="1" applyAlignment="1">
      <alignment horizontal="centerContinuous" vertical="center"/>
    </xf>
    <xf numFmtId="0" fontId="20" fillId="0" borderId="12" xfId="0" applyFont="1" applyFill="1" applyBorder="1" applyAlignment="1">
      <alignment horizontal="left" vertical="center" wrapText="1"/>
    </xf>
    <xf numFmtId="164" fontId="20" fillId="0" borderId="13" xfId="0" applyNumberFormat="1" applyFont="1" applyFill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Continuous" vertical="center"/>
    </xf>
    <xf numFmtId="0" fontId="27" fillId="0" borderId="12" xfId="0" quotePrefix="1" applyFont="1" applyFill="1" applyBorder="1" applyAlignment="1">
      <alignment horizontal="center" vertical="center" wrapText="1"/>
    </xf>
    <xf numFmtId="164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/>
    <xf numFmtId="0" fontId="31" fillId="0" borderId="3" xfId="0" applyFont="1" applyBorder="1" applyAlignment="1">
      <alignment horizontal="center" wrapText="1"/>
    </xf>
    <xf numFmtId="0" fontId="31" fillId="0" borderId="3" xfId="0" applyFont="1" applyBorder="1" applyAlignment="1">
      <alignment wrapText="1"/>
    </xf>
    <xf numFmtId="3" fontId="20" fillId="0" borderId="13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3" fontId="20" fillId="0" borderId="10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left" vertical="center"/>
    </xf>
    <xf numFmtId="164" fontId="27" fillId="0" borderId="22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164" fontId="27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/>
    <xf numFmtId="0" fontId="37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3" fontId="37" fillId="0" borderId="0" xfId="0" applyNumberFormat="1" applyFont="1" applyBorder="1" applyAlignment="1">
      <alignment horizontal="left"/>
    </xf>
    <xf numFmtId="2" fontId="14" fillId="0" borderId="0" xfId="0" applyNumberFormat="1" applyFont="1" applyBorder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9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0" fontId="7" fillId="0" borderId="0" xfId="0" applyFont="1"/>
    <xf numFmtId="9" fontId="7" fillId="0" borderId="0" xfId="0" applyNumberFormat="1" applyFont="1" applyAlignment="1">
      <alignment horizontal="right"/>
    </xf>
    <xf numFmtId="0" fontId="7" fillId="0" borderId="2" xfId="0" applyFont="1" applyBorder="1"/>
    <xf numFmtId="9" fontId="38" fillId="0" borderId="0" xfId="0" applyNumberFormat="1" applyFont="1" applyAlignment="1">
      <alignment horizontal="right" vertical="center"/>
    </xf>
    <xf numFmtId="0" fontId="7" fillId="0" borderId="4" xfId="0" applyFont="1" applyBorder="1"/>
    <xf numFmtId="0" fontId="7" fillId="2" borderId="0" xfId="0" applyFont="1" applyFill="1" applyAlignment="1">
      <alignment vertical="center"/>
    </xf>
    <xf numFmtId="9" fontId="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righ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1" fontId="7" fillId="0" borderId="36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14" fillId="0" borderId="0" xfId="0" applyFont="1"/>
    <xf numFmtId="49" fontId="39" fillId="0" borderId="35" xfId="0" applyNumberFormat="1" applyFont="1" applyBorder="1" applyAlignment="1">
      <alignment horizontal="center" vertical="center"/>
    </xf>
    <xf numFmtId="49" fontId="39" fillId="0" borderId="15" xfId="0" applyNumberFormat="1" applyFont="1" applyBorder="1" applyAlignment="1">
      <alignment horizontal="center" vertical="center"/>
    </xf>
    <xf numFmtId="49" fontId="39" fillId="0" borderId="36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vertical="center" wrapText="1"/>
    </xf>
    <xf numFmtId="0" fontId="42" fillId="3" borderId="15" xfId="0" applyFont="1" applyFill="1" applyBorder="1" applyAlignment="1">
      <alignment horizontal="center" vertical="center" wrapText="1"/>
    </xf>
    <xf numFmtId="49" fontId="39" fillId="3" borderId="15" xfId="0" applyNumberFormat="1" applyFont="1" applyFill="1" applyBorder="1" applyAlignment="1">
      <alignment horizontal="center" vertical="center" wrapText="1"/>
    </xf>
    <xf numFmtId="3" fontId="39" fillId="3" borderId="15" xfId="0" applyNumberFormat="1" applyFont="1" applyFill="1" applyBorder="1" applyAlignment="1">
      <alignment horizontal="right" vertical="center" wrapText="1"/>
    </xf>
    <xf numFmtId="3" fontId="39" fillId="3" borderId="36" xfId="0" applyNumberFormat="1" applyFont="1" applyFill="1" applyBorder="1" applyAlignment="1">
      <alignment horizontal="right" vertical="center" wrapText="1"/>
    </xf>
    <xf numFmtId="167" fontId="39" fillId="2" borderId="36" xfId="0" applyNumberFormat="1" applyFont="1" applyFill="1" applyBorder="1" applyAlignment="1">
      <alignment horizontal="right" vertical="center" wrapText="1"/>
    </xf>
    <xf numFmtId="9" fontId="39" fillId="3" borderId="16" xfId="0" applyNumberFormat="1" applyFont="1" applyFill="1" applyBorder="1" applyAlignment="1">
      <alignment horizontal="right" vertical="center" wrapText="1"/>
    </xf>
    <xf numFmtId="49" fontId="43" fillId="0" borderId="26" xfId="0" applyNumberFormat="1" applyFont="1" applyBorder="1" applyAlignment="1">
      <alignment horizontal="center" vertical="center"/>
    </xf>
    <xf numFmtId="49" fontId="43" fillId="0" borderId="27" xfId="0" applyNumberFormat="1" applyFont="1" applyBorder="1" applyAlignment="1">
      <alignment horizontal="center" vertical="center"/>
    </xf>
    <xf numFmtId="0" fontId="43" fillId="0" borderId="27" xfId="0" applyFont="1" applyBorder="1" applyAlignment="1">
      <alignment horizontal="left" vertical="center" wrapText="1"/>
    </xf>
    <xf numFmtId="0" fontId="42" fillId="3" borderId="27" xfId="0" applyFont="1" applyFill="1" applyBorder="1" applyAlignment="1">
      <alignment horizontal="center" vertical="center" wrapText="1"/>
    </xf>
    <xf numFmtId="49" fontId="39" fillId="3" borderId="27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right" vertical="center" wrapText="1"/>
    </xf>
    <xf numFmtId="3" fontId="43" fillId="3" borderId="37" xfId="0" applyNumberFormat="1" applyFont="1" applyFill="1" applyBorder="1" applyAlignment="1">
      <alignment horizontal="right" vertical="center" wrapText="1"/>
    </xf>
    <xf numFmtId="167" fontId="43" fillId="0" borderId="37" xfId="1" applyNumberFormat="1" applyFont="1" applyFill="1" applyBorder="1" applyAlignment="1">
      <alignment horizontal="right" vertical="center" wrapText="1"/>
    </xf>
    <xf numFmtId="9" fontId="43" fillId="3" borderId="28" xfId="0" applyNumberFormat="1" applyFont="1" applyFill="1" applyBorder="1" applyAlignment="1">
      <alignment horizontal="right" vertical="center" wrapText="1"/>
    </xf>
    <xf numFmtId="49" fontId="44" fillId="0" borderId="9" xfId="0" applyNumberFormat="1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 wrapText="1"/>
    </xf>
    <xf numFmtId="0" fontId="45" fillId="3" borderId="1" xfId="0" applyFont="1" applyFill="1" applyBorder="1" applyAlignment="1">
      <alignment horizontal="left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167" fontId="44" fillId="0" borderId="1" xfId="1" applyNumberFormat="1" applyFont="1" applyFill="1" applyBorder="1" applyAlignment="1">
      <alignment horizontal="right" vertical="center" wrapText="1"/>
    </xf>
    <xf numFmtId="9" fontId="44" fillId="0" borderId="10" xfId="0" applyNumberFormat="1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45" fillId="2" borderId="1" xfId="0" quotePrefix="1" applyFont="1" applyFill="1" applyBorder="1" applyAlignment="1">
      <alignment horizontal="left" vertical="center" wrapText="1"/>
    </xf>
    <xf numFmtId="49" fontId="44" fillId="2" borderId="1" xfId="0" applyNumberFormat="1" applyFont="1" applyFill="1" applyBorder="1" applyAlignment="1">
      <alignment horizontal="center" vertical="center" wrapText="1"/>
    </xf>
    <xf numFmtId="3" fontId="44" fillId="2" borderId="1" xfId="0" applyNumberFormat="1" applyFont="1" applyFill="1" applyBorder="1" applyAlignment="1">
      <alignment horizontal="right" vertical="center" wrapText="1"/>
    </xf>
    <xf numFmtId="167" fontId="44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0" fontId="39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2" xfId="0" quotePrefix="1" applyNumberFormat="1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left" vertical="center" wrapText="1"/>
    </xf>
    <xf numFmtId="0" fontId="45" fillId="2" borderId="12" xfId="0" applyFont="1" applyFill="1" applyBorder="1" applyAlignment="1">
      <alignment horizontal="left" vertical="center" wrapText="1"/>
    </xf>
    <xf numFmtId="49" fontId="44" fillId="2" borderId="12" xfId="0" applyNumberFormat="1" applyFont="1" applyFill="1" applyBorder="1" applyAlignment="1">
      <alignment horizontal="center" vertical="center" wrapText="1"/>
    </xf>
    <xf numFmtId="3" fontId="44" fillId="2" borderId="12" xfId="0" applyNumberFormat="1" applyFont="1" applyFill="1" applyBorder="1" applyAlignment="1">
      <alignment horizontal="right" vertical="center" wrapText="1"/>
    </xf>
    <xf numFmtId="167" fontId="44" fillId="2" borderId="12" xfId="1" applyNumberFormat="1" applyFont="1" applyFill="1" applyBorder="1" applyAlignment="1">
      <alignment horizontal="right" vertical="center" wrapText="1"/>
    </xf>
    <xf numFmtId="9" fontId="44" fillId="0" borderId="13" xfId="0" applyNumberFormat="1" applyFont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quotePrefix="1" applyFont="1" applyFill="1" applyBorder="1" applyAlignment="1">
      <alignment horizontal="left" vertical="center" wrapText="1"/>
    </xf>
    <xf numFmtId="0" fontId="45" fillId="3" borderId="15" xfId="0" applyFont="1" applyFill="1" applyBorder="1" applyAlignment="1">
      <alignment horizontal="left" vertical="center" wrapText="1"/>
    </xf>
    <xf numFmtId="49" fontId="44" fillId="0" borderId="15" xfId="0" applyNumberFormat="1" applyFont="1" applyBorder="1" applyAlignment="1">
      <alignment horizontal="center" vertical="center" wrapText="1"/>
    </xf>
    <xf numFmtId="3" fontId="44" fillId="0" borderId="15" xfId="0" applyNumberFormat="1" applyFont="1" applyBorder="1" applyAlignment="1">
      <alignment horizontal="right" vertical="center" wrapText="1"/>
    </xf>
    <xf numFmtId="167" fontId="39" fillId="3" borderId="15" xfId="1" applyNumberFormat="1" applyFont="1" applyFill="1" applyBorder="1" applyAlignment="1">
      <alignment horizontal="right" vertical="center" wrapText="1"/>
    </xf>
    <xf numFmtId="9" fontId="44" fillId="0" borderId="16" xfId="0" applyNumberFormat="1" applyFont="1" applyBorder="1" applyAlignment="1">
      <alignment horizontal="right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6" fillId="0" borderId="18" xfId="0" quotePrefix="1" applyFont="1" applyFill="1" applyBorder="1" applyAlignment="1">
      <alignment horizontal="left" vertical="center" wrapText="1"/>
    </xf>
    <xf numFmtId="0" fontId="45" fillId="3" borderId="18" xfId="0" applyFont="1" applyFill="1" applyBorder="1" applyAlignment="1">
      <alignment horizontal="left" vertical="center" wrapText="1"/>
    </xf>
    <xf numFmtId="49" fontId="44" fillId="0" borderId="18" xfId="0" applyNumberFormat="1" applyFont="1" applyBorder="1" applyAlignment="1">
      <alignment horizontal="center" vertical="center" wrapText="1"/>
    </xf>
    <xf numFmtId="3" fontId="44" fillId="0" borderId="18" xfId="0" applyNumberFormat="1" applyFont="1" applyBorder="1" applyAlignment="1">
      <alignment horizontal="right" vertical="center" wrapText="1"/>
    </xf>
    <xf numFmtId="167" fontId="43" fillId="3" borderId="18" xfId="1" applyNumberFormat="1" applyFont="1" applyFill="1" applyBorder="1" applyAlignment="1">
      <alignment horizontal="right" vertical="center" wrapText="1"/>
    </xf>
    <xf numFmtId="9" fontId="44" fillId="0" borderId="19" xfId="0" applyNumberFormat="1" applyFont="1" applyBorder="1" applyAlignment="1">
      <alignment horizontal="right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3" fillId="0" borderId="27" xfId="0" quotePrefix="1" applyFont="1" applyFill="1" applyBorder="1" applyAlignment="1">
      <alignment horizontal="left" vertical="center" wrapText="1"/>
    </xf>
    <xf numFmtId="0" fontId="45" fillId="3" borderId="12" xfId="0" applyFont="1" applyFill="1" applyBorder="1" applyAlignment="1">
      <alignment horizontal="left" vertical="center" wrapText="1"/>
    </xf>
    <xf numFmtId="49" fontId="44" fillId="0" borderId="27" xfId="0" applyNumberFormat="1" applyFont="1" applyBorder="1" applyAlignment="1">
      <alignment horizontal="center" vertical="center" wrapText="1"/>
    </xf>
    <xf numFmtId="3" fontId="44" fillId="0" borderId="27" xfId="0" applyNumberFormat="1" applyFont="1" applyBorder="1" applyAlignment="1">
      <alignment horizontal="right" vertical="center" wrapText="1"/>
    </xf>
    <xf numFmtId="167" fontId="44" fillId="3" borderId="27" xfId="1" applyNumberFormat="1" applyFont="1" applyFill="1" applyBorder="1" applyAlignment="1">
      <alignment horizontal="right" vertical="center" wrapText="1"/>
    </xf>
    <xf numFmtId="49" fontId="44" fillId="0" borderId="12" xfId="0" applyNumberFormat="1" applyFont="1" applyBorder="1" applyAlignment="1">
      <alignment horizontal="center" vertical="center" wrapText="1"/>
    </xf>
    <xf numFmtId="3" fontId="44" fillId="0" borderId="12" xfId="0" applyNumberFormat="1" applyFont="1" applyBorder="1" applyAlignment="1">
      <alignment horizontal="right" vertical="center" wrapText="1"/>
    </xf>
    <xf numFmtId="167" fontId="44" fillId="0" borderId="12" xfId="1" applyNumberFormat="1" applyFont="1" applyFill="1" applyBorder="1" applyAlignment="1">
      <alignment horizontal="right" vertical="center" wrapText="1"/>
    </xf>
    <xf numFmtId="9" fontId="44" fillId="0" borderId="10" xfId="0" applyNumberFormat="1" applyFont="1" applyBorder="1" applyAlignment="1">
      <alignment vertical="center" wrapText="1"/>
    </xf>
    <xf numFmtId="0" fontId="48" fillId="0" borderId="12" xfId="0" applyFont="1" applyFill="1" applyBorder="1" applyAlignment="1">
      <alignment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3" fontId="43" fillId="0" borderId="12" xfId="0" applyNumberFormat="1" applyFont="1" applyBorder="1" applyAlignment="1">
      <alignment horizontal="right" vertical="center" wrapText="1"/>
    </xf>
    <xf numFmtId="167" fontId="43" fillId="0" borderId="12" xfId="1" applyNumberFormat="1" applyFont="1" applyFill="1" applyBorder="1" applyAlignment="1">
      <alignment horizontal="right" vertical="center" wrapText="1"/>
    </xf>
    <xf numFmtId="9" fontId="44" fillId="0" borderId="13" xfId="0" applyNumberFormat="1" applyFont="1" applyBorder="1" applyAlignment="1">
      <alignment vertical="center" wrapText="1"/>
    </xf>
    <xf numFmtId="0" fontId="2" fillId="0" borderId="15" xfId="0" quotePrefix="1" applyFont="1" applyFill="1" applyBorder="1" applyAlignment="1">
      <alignment vertical="center" wrapText="1"/>
    </xf>
    <xf numFmtId="0" fontId="43" fillId="0" borderId="15" xfId="0" applyFont="1" applyFill="1" applyBorder="1" applyAlignment="1">
      <alignment vertical="center" wrapText="1"/>
    </xf>
    <xf numFmtId="49" fontId="43" fillId="0" borderId="15" xfId="0" applyNumberFormat="1" applyFont="1" applyBorder="1" applyAlignment="1">
      <alignment horizontal="center" vertical="center" wrapText="1"/>
    </xf>
    <xf numFmtId="3" fontId="43" fillId="0" borderId="15" xfId="0" applyNumberFormat="1" applyFont="1" applyBorder="1" applyAlignment="1">
      <alignment horizontal="right" vertical="center" wrapText="1"/>
    </xf>
    <xf numFmtId="167" fontId="39" fillId="0" borderId="15" xfId="1" applyNumberFormat="1" applyFont="1" applyFill="1" applyBorder="1" applyAlignment="1">
      <alignment horizontal="right" vertical="center" wrapText="1"/>
    </xf>
    <xf numFmtId="9" fontId="44" fillId="0" borderId="16" xfId="0" applyNumberFormat="1" applyFont="1" applyBorder="1" applyAlignment="1">
      <alignment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46" fillId="0" borderId="7" xfId="0" quotePrefix="1" applyFont="1" applyFill="1" applyBorder="1" applyAlignment="1">
      <alignment vertical="center" wrapText="1"/>
    </xf>
    <xf numFmtId="0" fontId="43" fillId="0" borderId="7" xfId="0" applyFont="1" applyFill="1" applyBorder="1" applyAlignment="1">
      <alignment vertical="center" wrapText="1"/>
    </xf>
    <xf numFmtId="49" fontId="43" fillId="0" borderId="7" xfId="0" applyNumberFormat="1" applyFont="1" applyBorder="1" applyAlignment="1">
      <alignment horizontal="center" vertical="center" wrapText="1"/>
    </xf>
    <xf numFmtId="3" fontId="43" fillId="0" borderId="7" xfId="0" applyNumberFormat="1" applyFont="1" applyBorder="1" applyAlignment="1">
      <alignment horizontal="right" vertical="center" wrapText="1"/>
    </xf>
    <xf numFmtId="167" fontId="43" fillId="0" borderId="7" xfId="1" applyNumberFormat="1" applyFont="1" applyFill="1" applyBorder="1" applyAlignment="1">
      <alignment horizontal="right" vertical="center" wrapText="1"/>
    </xf>
    <xf numFmtId="9" fontId="44" fillId="0" borderId="8" xfId="0" applyNumberFormat="1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right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9" fillId="0" borderId="1" xfId="0" quotePrefix="1" applyNumberFormat="1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quotePrefix="1" applyFont="1" applyFill="1" applyBorder="1" applyAlignment="1">
      <alignment vertical="center" wrapText="1"/>
    </xf>
    <xf numFmtId="167" fontId="39" fillId="0" borderId="25" xfId="1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quotePrefix="1" applyFont="1" applyFill="1" applyBorder="1" applyAlignment="1">
      <alignment vertical="center" wrapText="1"/>
    </xf>
    <xf numFmtId="49" fontId="43" fillId="0" borderId="27" xfId="0" applyNumberFormat="1" applyFont="1" applyBorder="1" applyAlignment="1">
      <alignment horizontal="center" vertical="center" wrapText="1"/>
    </xf>
    <xf numFmtId="3" fontId="43" fillId="0" borderId="27" xfId="0" applyNumberFormat="1" applyFont="1" applyBorder="1" applyAlignment="1">
      <alignment horizontal="right" vertical="center" wrapText="1"/>
    </xf>
    <xf numFmtId="167" fontId="44" fillId="0" borderId="27" xfId="1" applyNumberFormat="1" applyFont="1" applyFill="1" applyBorder="1" applyAlignment="1">
      <alignment horizontal="right" vertical="center" wrapText="1"/>
    </xf>
    <xf numFmtId="9" fontId="44" fillId="0" borderId="28" xfId="0" applyNumberFormat="1" applyFont="1" applyBorder="1" applyAlignment="1">
      <alignment vertical="center" wrapText="1"/>
    </xf>
    <xf numFmtId="49" fontId="39" fillId="0" borderId="14" xfId="0" applyNumberFormat="1" applyFont="1" applyBorder="1" applyAlignment="1">
      <alignment horizontal="center" vertical="center"/>
    </xf>
    <xf numFmtId="49" fontId="39" fillId="0" borderId="15" xfId="0" applyNumberFormat="1" applyFont="1" applyBorder="1" applyAlignment="1">
      <alignment horizontal="left" vertical="center" wrapText="1"/>
    </xf>
    <xf numFmtId="0" fontId="42" fillId="3" borderId="15" xfId="0" applyFont="1" applyFill="1" applyBorder="1" applyAlignment="1">
      <alignment horizontal="left" vertical="center"/>
    </xf>
    <xf numFmtId="0" fontId="39" fillId="3" borderId="15" xfId="0" applyFont="1" applyFill="1" applyBorder="1" applyAlignment="1">
      <alignment horizontal="right" vertical="center" wrapText="1"/>
    </xf>
    <xf numFmtId="49" fontId="43" fillId="0" borderId="17" xfId="0" applyNumberFormat="1" applyFont="1" applyBorder="1" applyAlignment="1">
      <alignment horizontal="center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8" xfId="0" applyNumberFormat="1" applyFont="1" applyBorder="1" applyAlignment="1">
      <alignment horizontal="left" vertical="center" wrapText="1"/>
    </xf>
    <xf numFmtId="0" fontId="42" fillId="3" borderId="18" xfId="0" applyFont="1" applyFill="1" applyBorder="1" applyAlignment="1">
      <alignment horizontal="left" vertical="center" wrapText="1"/>
    </xf>
    <xf numFmtId="49" fontId="39" fillId="3" borderId="18" xfId="0" applyNumberFormat="1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right" vertical="center" wrapText="1"/>
    </xf>
    <xf numFmtId="9" fontId="39" fillId="3" borderId="19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9" fillId="3" borderId="1" xfId="0" applyFont="1" applyFill="1" applyBorder="1" applyAlignment="1">
      <alignment horizontal="right" vertical="center" wrapText="1"/>
    </xf>
    <xf numFmtId="9" fontId="39" fillId="3" borderId="10" xfId="0" applyNumberFormat="1" applyFont="1" applyFill="1" applyBorder="1" applyAlignment="1">
      <alignment horizontal="right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45" fillId="3" borderId="1" xfId="0" quotePrefix="1" applyFont="1" applyFill="1" applyBorder="1" applyAlignment="1">
      <alignment horizontal="left" vertical="center" wrapText="1"/>
    </xf>
    <xf numFmtId="3" fontId="44" fillId="3" borderId="1" xfId="0" applyNumberFormat="1" applyFont="1" applyFill="1" applyBorder="1" applyAlignment="1">
      <alignment horizontal="right" vertical="center" wrapText="1"/>
    </xf>
    <xf numFmtId="9" fontId="44" fillId="3" borderId="1" xfId="0" applyNumberFormat="1" applyFont="1" applyFill="1" applyBorder="1" applyAlignment="1">
      <alignment horizontal="right" vertical="center" wrapText="1"/>
    </xf>
    <xf numFmtId="9" fontId="44" fillId="3" borderId="10" xfId="0" applyNumberFormat="1" applyFont="1" applyFill="1" applyBorder="1" applyAlignment="1">
      <alignment horizontal="right" vertical="center" wrapText="1"/>
    </xf>
    <xf numFmtId="49" fontId="39" fillId="0" borderId="24" xfId="0" applyNumberFormat="1" applyFont="1" applyBorder="1" applyAlignment="1">
      <alignment horizontal="center" vertical="center"/>
    </xf>
    <xf numFmtId="49" fontId="39" fillId="0" borderId="25" xfId="0" applyNumberFormat="1" applyFont="1" applyBorder="1" applyAlignment="1">
      <alignment horizontal="center" vertical="center" wrapText="1"/>
    </xf>
    <xf numFmtId="3" fontId="39" fillId="0" borderId="25" xfId="0" applyNumberFormat="1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3" fontId="39" fillId="0" borderId="25" xfId="0" applyNumberFormat="1" applyFont="1" applyBorder="1" applyAlignment="1">
      <alignment horizontal="right" vertical="center"/>
    </xf>
    <xf numFmtId="9" fontId="39" fillId="0" borderId="29" xfId="0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 wrapText="1"/>
    </xf>
    <xf numFmtId="3" fontId="43" fillId="0" borderId="7" xfId="0" applyNumberFormat="1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49" fontId="39" fillId="0" borderId="27" xfId="0" applyNumberFormat="1" applyFont="1" applyBorder="1" applyAlignment="1">
      <alignment horizontal="center" vertical="center" wrapText="1"/>
    </xf>
    <xf numFmtId="3" fontId="43" fillId="0" borderId="18" xfId="0" applyNumberFormat="1" applyFont="1" applyBorder="1" applyAlignment="1">
      <alignment horizontal="right" vertical="center"/>
    </xf>
    <xf numFmtId="9" fontId="43" fillId="0" borderId="19" xfId="0" applyNumberFormat="1" applyFont="1" applyBorder="1" applyAlignment="1">
      <alignment horizontal="right" vertical="center"/>
    </xf>
    <xf numFmtId="3" fontId="45" fillId="0" borderId="1" xfId="0" applyNumberFormat="1" applyFont="1" applyFill="1" applyBorder="1" applyAlignment="1">
      <alignment vertical="center" wrapText="1"/>
    </xf>
    <xf numFmtId="3" fontId="44" fillId="0" borderId="30" xfId="0" applyNumberFormat="1" applyFont="1" applyBorder="1" applyAlignment="1">
      <alignment horizontal="right" vertical="center"/>
    </xf>
    <xf numFmtId="168" fontId="44" fillId="2" borderId="18" xfId="0" applyNumberFormat="1" applyFont="1" applyFill="1" applyBorder="1" applyAlignment="1">
      <alignment horizontal="right" vertical="center"/>
    </xf>
    <xf numFmtId="168" fontId="44" fillId="0" borderId="10" xfId="0" applyNumberFormat="1" applyFont="1" applyBorder="1" applyAlignment="1">
      <alignment horizontal="right" vertical="center"/>
    </xf>
    <xf numFmtId="3" fontId="48" fillId="0" borderId="1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horizontal="right" vertical="center"/>
    </xf>
    <xf numFmtId="168" fontId="43" fillId="0" borderId="10" xfId="0" applyNumberFormat="1" applyFont="1" applyBorder="1" applyAlignment="1">
      <alignment horizontal="right" vertical="center"/>
    </xf>
    <xf numFmtId="0" fontId="45" fillId="2" borderId="1" xfId="0" quotePrefix="1" applyFont="1" applyFill="1" applyBorder="1" applyAlignment="1">
      <alignment vertical="center" wrapText="1"/>
    </xf>
    <xf numFmtId="0" fontId="45" fillId="2" borderId="5" xfId="0" quotePrefix="1" applyFont="1" applyFill="1" applyBorder="1" applyAlignment="1">
      <alignment horizontal="center" vertical="center" wrapText="1"/>
    </xf>
    <xf numFmtId="3" fontId="44" fillId="0" borderId="30" xfId="0" applyNumberFormat="1" applyFont="1" applyFill="1" applyBorder="1" applyAlignment="1">
      <alignment horizontal="right" vertical="center"/>
    </xf>
    <xf numFmtId="9" fontId="44" fillId="2" borderId="18" xfId="0" applyNumberFormat="1" applyFont="1" applyFill="1" applyBorder="1" applyAlignment="1">
      <alignment horizontal="right" vertical="center"/>
    </xf>
    <xf numFmtId="168" fontId="44" fillId="0" borderId="19" xfId="0" applyNumberFormat="1" applyFont="1" applyBorder="1" applyAlignment="1">
      <alignment horizontal="right" vertical="center"/>
    </xf>
    <xf numFmtId="3" fontId="44" fillId="0" borderId="3" xfId="0" applyNumberFormat="1" applyFont="1" applyBorder="1" applyAlignment="1">
      <alignment horizontal="right" vertical="center"/>
    </xf>
    <xf numFmtId="3" fontId="44" fillId="2" borderId="3" xfId="0" applyNumberFormat="1" applyFont="1" applyFill="1" applyBorder="1" applyAlignment="1">
      <alignment horizontal="right" vertical="center"/>
    </xf>
    <xf numFmtId="168" fontId="44" fillId="2" borderId="1" xfId="0" applyNumberFormat="1" applyFont="1" applyFill="1" applyBorder="1" applyAlignment="1">
      <alignment horizontal="right" vertical="center"/>
    </xf>
    <xf numFmtId="3" fontId="43" fillId="0" borderId="30" xfId="0" applyNumberFormat="1" applyFont="1" applyBorder="1" applyAlignment="1">
      <alignment horizontal="right" vertical="center"/>
    </xf>
    <xf numFmtId="3" fontId="43" fillId="2" borderId="30" xfId="0" applyNumberFormat="1" applyFont="1" applyFill="1" applyBorder="1" applyAlignment="1">
      <alignment horizontal="right" vertical="center"/>
    </xf>
    <xf numFmtId="9" fontId="43" fillId="0" borderId="1" xfId="0" applyNumberFormat="1" applyFont="1" applyBorder="1" applyAlignment="1">
      <alignment vertical="center"/>
    </xf>
    <xf numFmtId="168" fontId="43" fillId="0" borderId="19" xfId="0" applyNumberFormat="1" applyFont="1" applyBorder="1" applyAlignment="1">
      <alignment horizontal="right" vertical="center"/>
    </xf>
    <xf numFmtId="49" fontId="44" fillId="2" borderId="9" xfId="0" applyNumberFormat="1" applyFont="1" applyFill="1" applyBorder="1" applyAlignment="1">
      <alignment horizontal="center" vertical="center"/>
    </xf>
    <xf numFmtId="3" fontId="44" fillId="0" borderId="1" xfId="0" applyNumberFormat="1" applyFont="1" applyBorder="1" applyAlignment="1">
      <alignment horizontal="right" vertical="center"/>
    </xf>
    <xf numFmtId="3" fontId="44" fillId="2" borderId="30" xfId="0" applyNumberFormat="1" applyFont="1" applyFill="1" applyBorder="1" applyAlignment="1">
      <alignment horizontal="right" vertical="center"/>
    </xf>
    <xf numFmtId="9" fontId="44" fillId="0" borderId="18" xfId="0" applyNumberFormat="1" applyFont="1" applyBorder="1" applyAlignment="1">
      <alignment vertical="center"/>
    </xf>
    <xf numFmtId="0" fontId="44" fillId="0" borderId="27" xfId="0" applyFont="1" applyBorder="1" applyAlignment="1">
      <alignment horizontal="left" vertical="center" wrapText="1"/>
    </xf>
    <xf numFmtId="168" fontId="43" fillId="0" borderId="10" xfId="0" applyNumberFormat="1" applyFont="1" applyFill="1" applyBorder="1" applyAlignment="1">
      <alignment horizontal="right" vertical="center"/>
    </xf>
    <xf numFmtId="49" fontId="44" fillId="0" borderId="12" xfId="0" applyNumberFormat="1" applyFont="1" applyBorder="1" applyAlignment="1">
      <alignment horizontal="center" vertical="center"/>
    </xf>
    <xf numFmtId="3" fontId="45" fillId="2" borderId="1" xfId="0" applyNumberFormat="1" applyFont="1" applyFill="1" applyBorder="1" applyAlignment="1">
      <alignment vertical="center" wrapText="1"/>
    </xf>
    <xf numFmtId="168" fontId="44" fillId="0" borderId="19" xfId="0" applyNumberFormat="1" applyFont="1" applyFill="1" applyBorder="1" applyAlignment="1">
      <alignment horizontal="right" vertical="center"/>
    </xf>
    <xf numFmtId="0" fontId="44" fillId="0" borderId="18" xfId="0" applyFont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horizontal="center" vertical="center" wrapText="1"/>
    </xf>
    <xf numFmtId="3" fontId="44" fillId="0" borderId="3" xfId="0" applyNumberFormat="1" applyFont="1" applyBorder="1" applyAlignment="1">
      <alignment vertical="center"/>
    </xf>
    <xf numFmtId="0" fontId="37" fillId="0" borderId="0" xfId="0" applyFont="1"/>
    <xf numFmtId="49" fontId="3" fillId="0" borderId="12" xfId="0" quotePrefix="1" applyNumberFormat="1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5" fillId="0" borderId="5" xfId="0" applyFont="1" applyFill="1" applyBorder="1" applyAlignment="1">
      <alignment horizontal="center" vertical="center" wrapText="1"/>
    </xf>
    <xf numFmtId="168" fontId="44" fillId="0" borderId="1" xfId="0" applyNumberFormat="1" applyFont="1" applyBorder="1" applyAlignment="1">
      <alignment vertical="center"/>
    </xf>
    <xf numFmtId="3" fontId="43" fillId="0" borderId="3" xfId="0" applyNumberFormat="1" applyFont="1" applyBorder="1" applyAlignment="1">
      <alignment vertical="center"/>
    </xf>
    <xf numFmtId="168" fontId="43" fillId="0" borderId="1" xfId="0" applyNumberFormat="1" applyFont="1" applyBorder="1" applyAlignment="1">
      <alignment vertical="center"/>
    </xf>
    <xf numFmtId="3" fontId="43" fillId="0" borderId="3" xfId="0" applyNumberFormat="1" applyFont="1" applyBorder="1" applyAlignment="1">
      <alignment horizontal="right" vertical="center"/>
    </xf>
    <xf numFmtId="0" fontId="50" fillId="0" borderId="1" xfId="0" applyFont="1" applyBorder="1" applyAlignment="1">
      <alignment vertical="center" wrapText="1"/>
    </xf>
    <xf numFmtId="168" fontId="44" fillId="0" borderId="18" xfId="0" applyNumberFormat="1" applyFont="1" applyBorder="1" applyAlignment="1">
      <alignment vertical="center"/>
    </xf>
    <xf numFmtId="0" fontId="48" fillId="0" borderId="1" xfId="0" applyFont="1" applyFill="1" applyBorder="1" applyAlignment="1">
      <alignment vertical="center" wrapText="1"/>
    </xf>
    <xf numFmtId="168" fontId="43" fillId="0" borderId="18" xfId="0" applyNumberFormat="1" applyFont="1" applyBorder="1" applyAlignment="1">
      <alignment vertical="center"/>
    </xf>
    <xf numFmtId="0" fontId="44" fillId="0" borderId="31" xfId="0" applyFont="1" applyFill="1" applyBorder="1" applyAlignment="1">
      <alignment horizontal="center" vertical="center" wrapText="1"/>
    </xf>
    <xf numFmtId="9" fontId="44" fillId="0" borderId="10" xfId="0" applyNumberFormat="1" applyFont="1" applyBorder="1" applyAlignment="1">
      <alignment horizontal="right" vertical="center"/>
    </xf>
    <xf numFmtId="9" fontId="43" fillId="0" borderId="10" xfId="0" applyNumberFormat="1" applyFont="1" applyBorder="1" applyAlignment="1">
      <alignment horizontal="right" vertical="center"/>
    </xf>
    <xf numFmtId="3" fontId="44" fillId="0" borderId="5" xfId="0" applyNumberFormat="1" applyFont="1" applyFill="1" applyBorder="1" applyAlignment="1">
      <alignment horizontal="center" vertical="center" wrapText="1"/>
    </xf>
    <xf numFmtId="0" fontId="51" fillId="0" borderId="0" xfId="0" applyFont="1"/>
    <xf numFmtId="3" fontId="44" fillId="0" borderId="3" xfId="0" applyNumberFormat="1" applyFont="1" applyFill="1" applyBorder="1" applyAlignment="1">
      <alignment vertical="center"/>
    </xf>
    <xf numFmtId="3" fontId="48" fillId="0" borderId="3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horizontal="right" vertical="center"/>
    </xf>
    <xf numFmtId="0" fontId="45" fillId="0" borderId="3" xfId="0" applyFont="1" applyFill="1" applyBorder="1" applyAlignment="1">
      <alignment vertical="center" wrapText="1"/>
    </xf>
    <xf numFmtId="3" fontId="44" fillId="0" borderId="12" xfId="0" applyNumberFormat="1" applyFont="1" applyBorder="1" applyAlignment="1">
      <alignment horizontal="right" vertical="center"/>
    </xf>
    <xf numFmtId="168" fontId="44" fillId="0" borderId="13" xfId="0" applyNumberFormat="1" applyFont="1" applyBorder="1" applyAlignment="1">
      <alignment horizontal="right" vertical="center"/>
    </xf>
    <xf numFmtId="0" fontId="43" fillId="0" borderId="1" xfId="0" applyFont="1" applyFill="1" applyBorder="1" applyAlignment="1">
      <alignment vertical="center" wrapText="1"/>
    </xf>
    <xf numFmtId="3" fontId="43" fillId="0" borderId="1" xfId="0" applyNumberFormat="1" applyFont="1" applyBorder="1" applyAlignment="1">
      <alignment horizontal="right" vertical="center"/>
    </xf>
    <xf numFmtId="168" fontId="43" fillId="2" borderId="18" xfId="0" applyNumberFormat="1" applyFont="1" applyFill="1" applyBorder="1" applyAlignment="1">
      <alignment horizontal="right" vertical="center"/>
    </xf>
    <xf numFmtId="3" fontId="44" fillId="0" borderId="1" xfId="0" applyNumberFormat="1" applyFont="1" applyFill="1" applyBorder="1" applyAlignment="1">
      <alignment horizontal="right" vertical="center"/>
    </xf>
    <xf numFmtId="3" fontId="37" fillId="0" borderId="0" xfId="0" applyNumberFormat="1" applyFont="1"/>
    <xf numFmtId="3" fontId="44" fillId="0" borderId="18" xfId="0" applyNumberFormat="1" applyFont="1" applyBorder="1" applyAlignment="1">
      <alignment horizontal="right" vertical="center"/>
    </xf>
    <xf numFmtId="0" fontId="45" fillId="2" borderId="1" xfId="0" quotePrefix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top" wrapText="1"/>
    </xf>
    <xf numFmtId="0" fontId="48" fillId="0" borderId="1" xfId="0" applyFont="1" applyFill="1" applyBorder="1" applyAlignment="1">
      <alignment horizontal="left" vertical="top" wrapText="1"/>
    </xf>
    <xf numFmtId="3" fontId="43" fillId="0" borderId="18" xfId="0" applyNumberFormat="1" applyFont="1" applyBorder="1" applyAlignment="1">
      <alignment horizontal="center" vertical="center"/>
    </xf>
    <xf numFmtId="168" fontId="43" fillId="0" borderId="18" xfId="0" applyNumberFormat="1" applyFont="1" applyBorder="1" applyAlignment="1">
      <alignment horizontal="center" vertical="center"/>
    </xf>
    <xf numFmtId="3" fontId="44" fillId="0" borderId="18" xfId="0" applyNumberFormat="1" applyFont="1" applyBorder="1" applyAlignment="1">
      <alignment horizontal="center" vertical="center"/>
    </xf>
    <xf numFmtId="168" fontId="44" fillId="0" borderId="18" xfId="0" applyNumberFormat="1" applyFont="1" applyBorder="1" applyAlignment="1">
      <alignment horizontal="center" vertical="center"/>
    </xf>
    <xf numFmtId="0" fontId="45" fillId="0" borderId="30" xfId="0" applyFont="1" applyFill="1" applyBorder="1" applyAlignment="1">
      <alignment horizontal="left" vertical="center" wrapText="1"/>
    </xf>
    <xf numFmtId="3" fontId="44" fillId="0" borderId="1" xfId="0" applyNumberFormat="1" applyFont="1" applyBorder="1" applyAlignment="1">
      <alignment horizontal="center" vertical="center" wrapText="1"/>
    </xf>
    <xf numFmtId="3" fontId="44" fillId="0" borderId="18" xfId="0" applyNumberFormat="1" applyFont="1" applyBorder="1" applyAlignment="1">
      <alignment vertical="center"/>
    </xf>
    <xf numFmtId="0" fontId="45" fillId="0" borderId="3" xfId="0" applyFont="1" applyFill="1" applyBorder="1" applyAlignment="1">
      <alignment horizontal="left" vertical="center" wrapText="1"/>
    </xf>
    <xf numFmtId="3" fontId="44" fillId="0" borderId="18" xfId="0" applyNumberFormat="1" applyFont="1" applyFill="1" applyBorder="1" applyAlignment="1">
      <alignment horizontal="right" vertical="center"/>
    </xf>
    <xf numFmtId="3" fontId="44" fillId="0" borderId="18" xfId="0" applyNumberFormat="1" applyFont="1" applyFill="1" applyBorder="1" applyAlignment="1">
      <alignment horizontal="center" vertical="center"/>
    </xf>
    <xf numFmtId="168" fontId="44" fillId="0" borderId="18" xfId="0" applyNumberFormat="1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/>
    </xf>
    <xf numFmtId="3" fontId="43" fillId="0" borderId="18" xfId="0" applyNumberFormat="1" applyFont="1" applyFill="1" applyBorder="1" applyAlignment="1">
      <alignment horizontal="right" vertical="center"/>
    </xf>
    <xf numFmtId="3" fontId="43" fillId="0" borderId="18" xfId="0" applyNumberFormat="1" applyFont="1" applyFill="1" applyBorder="1" applyAlignment="1">
      <alignment horizontal="center" vertical="center"/>
    </xf>
    <xf numFmtId="168" fontId="43" fillId="0" borderId="18" xfId="0" applyNumberFormat="1" applyFont="1" applyFill="1" applyBorder="1" applyAlignment="1">
      <alignment horizontal="center" vertical="center"/>
    </xf>
    <xf numFmtId="168" fontId="43" fillId="0" borderId="19" xfId="0" applyNumberFormat="1" applyFont="1" applyFill="1" applyBorder="1" applyAlignment="1">
      <alignment horizontal="right" vertical="center"/>
    </xf>
    <xf numFmtId="3" fontId="44" fillId="2" borderId="1" xfId="0" applyNumberFormat="1" applyFont="1" applyFill="1" applyBorder="1" applyAlignment="1">
      <alignment horizontal="right" vertical="center"/>
    </xf>
    <xf numFmtId="3" fontId="44" fillId="0" borderId="1" xfId="0" applyNumberFormat="1" applyFont="1" applyFill="1" applyBorder="1" applyAlignment="1">
      <alignment horizontal="right" vertical="center" wrapText="1"/>
    </xf>
    <xf numFmtId="3" fontId="43" fillId="2" borderId="1" xfId="0" applyNumberFormat="1" applyFont="1" applyFill="1" applyBorder="1" applyAlignment="1">
      <alignment horizontal="right" vertical="center"/>
    </xf>
    <xf numFmtId="0" fontId="45" fillId="0" borderId="1" xfId="0" applyFont="1" applyFill="1" applyBorder="1" applyAlignment="1">
      <alignment vertical="top" wrapText="1"/>
    </xf>
    <xf numFmtId="9" fontId="44" fillId="0" borderId="1" xfId="0" applyNumberFormat="1" applyFont="1" applyBorder="1" applyAlignment="1">
      <alignment horizontal="right" vertical="center" wrapText="1"/>
    </xf>
    <xf numFmtId="168" fontId="44" fillId="0" borderId="1" xfId="0" applyNumberFormat="1" applyFont="1" applyBorder="1" applyAlignment="1">
      <alignment horizontal="right" vertical="center" wrapText="1"/>
    </xf>
    <xf numFmtId="3" fontId="44" fillId="0" borderId="1" xfId="0" applyNumberFormat="1" applyFont="1" applyBorder="1" applyAlignment="1">
      <alignment vertical="center"/>
    </xf>
    <xf numFmtId="168" fontId="44" fillId="0" borderId="10" xfId="0" applyNumberFormat="1" applyFont="1" applyBorder="1" applyAlignment="1">
      <alignment vertical="center"/>
    </xf>
    <xf numFmtId="0" fontId="48" fillId="0" borderId="30" xfId="0" applyFont="1" applyFill="1" applyBorder="1" applyAlignment="1">
      <alignment vertical="center" wrapText="1"/>
    </xf>
    <xf numFmtId="3" fontId="44" fillId="2" borderId="1" xfId="0" applyNumberFormat="1" applyFont="1" applyFill="1" applyBorder="1" applyAlignment="1">
      <alignment horizontal="center" vertical="center"/>
    </xf>
    <xf numFmtId="168" fontId="44" fillId="0" borderId="1" xfId="0" applyNumberFormat="1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vertical="center"/>
    </xf>
    <xf numFmtId="168" fontId="43" fillId="0" borderId="19" xfId="0" applyNumberFormat="1" applyFont="1" applyBorder="1" applyAlignment="1">
      <alignment vertical="center"/>
    </xf>
    <xf numFmtId="3" fontId="44" fillId="0" borderId="5" xfId="0" applyNumberFormat="1" applyFont="1" applyBorder="1" applyAlignment="1">
      <alignment horizontal="center" vertical="center" wrapText="1"/>
    </xf>
    <xf numFmtId="168" fontId="44" fillId="2" borderId="3" xfId="0" applyNumberFormat="1" applyFont="1" applyFill="1" applyBorder="1" applyAlignment="1">
      <alignment horizontal="right" vertical="center"/>
    </xf>
    <xf numFmtId="0" fontId="44" fillId="0" borderId="25" xfId="0" applyFont="1" applyFill="1" applyBorder="1" applyAlignment="1">
      <alignment horizontal="left" vertical="center" wrapText="1"/>
    </xf>
    <xf numFmtId="3" fontId="44" fillId="0" borderId="38" xfId="0" applyNumberFormat="1" applyFont="1" applyBorder="1" applyAlignment="1">
      <alignment horizontal="center" vertical="center" wrapText="1"/>
    </xf>
    <xf numFmtId="3" fontId="44" fillId="2" borderId="25" xfId="0" applyNumberFormat="1" applyFont="1" applyFill="1" applyBorder="1" applyAlignment="1">
      <alignment horizontal="right" vertical="center"/>
    </xf>
    <xf numFmtId="3" fontId="44" fillId="0" borderId="25" xfId="0" applyNumberFormat="1" applyFont="1" applyBorder="1" applyAlignment="1">
      <alignment horizontal="right" vertical="center" wrapText="1"/>
    </xf>
    <xf numFmtId="168" fontId="44" fillId="2" borderId="49" xfId="0" applyNumberFormat="1" applyFont="1" applyFill="1" applyBorder="1" applyAlignment="1">
      <alignment horizontal="right" vertical="center"/>
    </xf>
    <xf numFmtId="3" fontId="39" fillId="0" borderId="25" xfId="0" applyNumberFormat="1" applyFont="1" applyBorder="1" applyAlignment="1">
      <alignment vertical="center"/>
    </xf>
    <xf numFmtId="168" fontId="44" fillId="0" borderId="29" xfId="0" applyNumberFormat="1" applyFont="1" applyBorder="1" applyAlignment="1">
      <alignment horizontal="right" vertical="center"/>
    </xf>
    <xf numFmtId="0" fontId="44" fillId="0" borderId="7" xfId="0" applyFont="1" applyFill="1" applyBorder="1" applyAlignment="1">
      <alignment horizontal="left" vertical="center" wrapText="1"/>
    </xf>
    <xf numFmtId="3" fontId="44" fillId="0" borderId="33" xfId="0" applyNumberFormat="1" applyFont="1" applyBorder="1" applyAlignment="1">
      <alignment horizontal="center" vertical="center" wrapText="1"/>
    </xf>
    <xf numFmtId="3" fontId="44" fillId="2" borderId="7" xfId="0" applyNumberFormat="1" applyFont="1" applyFill="1" applyBorder="1" applyAlignment="1">
      <alignment horizontal="right" vertical="center"/>
    </xf>
    <xf numFmtId="3" fontId="44" fillId="0" borderId="7" xfId="0" applyNumberFormat="1" applyFont="1" applyBorder="1" applyAlignment="1">
      <alignment horizontal="right" vertical="center" wrapText="1"/>
    </xf>
    <xf numFmtId="168" fontId="44" fillId="2" borderId="43" xfId="0" applyNumberFormat="1" applyFont="1" applyFill="1" applyBorder="1" applyAlignment="1">
      <alignment horizontal="right" vertical="center"/>
    </xf>
    <xf numFmtId="3" fontId="43" fillId="0" borderId="7" xfId="0" applyNumberFormat="1" applyFont="1" applyBorder="1" applyAlignment="1">
      <alignment vertical="center"/>
    </xf>
    <xf numFmtId="168" fontId="44" fillId="0" borderId="8" xfId="0" applyNumberFormat="1" applyFont="1" applyBorder="1" applyAlignment="1">
      <alignment horizontal="right" vertical="center"/>
    </xf>
    <xf numFmtId="3" fontId="48" fillId="0" borderId="18" xfId="0" applyNumberFormat="1" applyFont="1" applyFill="1" applyBorder="1" applyAlignment="1">
      <alignment vertical="center" wrapText="1"/>
    </xf>
    <xf numFmtId="3" fontId="43" fillId="2" borderId="18" xfId="0" applyNumberFormat="1" applyFont="1" applyFill="1" applyBorder="1" applyAlignment="1">
      <alignment vertical="center"/>
    </xf>
    <xf numFmtId="3" fontId="43" fillId="0" borderId="18" xfId="0" applyNumberFormat="1" applyFont="1" applyBorder="1" applyAlignment="1">
      <alignment vertical="center" wrapText="1"/>
    </xf>
    <xf numFmtId="168" fontId="43" fillId="0" borderId="18" xfId="0" applyNumberFormat="1" applyFont="1" applyBorder="1" applyAlignment="1">
      <alignment vertical="center" wrapText="1"/>
    </xf>
    <xf numFmtId="0" fontId="50" fillId="0" borderId="1" xfId="0" applyFont="1" applyBorder="1" applyAlignment="1">
      <alignment horizontal="left" vertical="center" wrapText="1"/>
    </xf>
    <xf numFmtId="3" fontId="43" fillId="2" borderId="12" xfId="0" applyNumberFormat="1" applyFont="1" applyFill="1" applyBorder="1" applyAlignment="1">
      <alignment vertical="center"/>
    </xf>
    <xf numFmtId="3" fontId="43" fillId="0" borderId="12" xfId="0" applyNumberFormat="1" applyFont="1" applyBorder="1" applyAlignment="1">
      <alignment vertical="center" wrapText="1"/>
    </xf>
    <xf numFmtId="168" fontId="43" fillId="0" borderId="12" xfId="0" applyNumberFormat="1" applyFont="1" applyBorder="1" applyAlignment="1">
      <alignment vertical="center" wrapText="1"/>
    </xf>
    <xf numFmtId="3" fontId="43" fillId="0" borderId="12" xfId="0" applyNumberFormat="1" applyFont="1" applyBorder="1" applyAlignment="1">
      <alignment horizontal="right" vertical="center"/>
    </xf>
    <xf numFmtId="0" fontId="52" fillId="0" borderId="50" xfId="0" applyFont="1" applyFill="1" applyBorder="1" applyAlignment="1">
      <alignment vertical="center" wrapText="1"/>
    </xf>
    <xf numFmtId="0" fontId="39" fillId="0" borderId="35" xfId="0" applyFont="1" applyBorder="1" applyAlignment="1">
      <alignment horizontal="center" vertical="center"/>
    </xf>
    <xf numFmtId="0" fontId="39" fillId="3" borderId="15" xfId="0" applyFont="1" applyFill="1" applyBorder="1" applyAlignment="1">
      <alignment horizontal="center" vertical="center" wrapText="1"/>
    </xf>
    <xf numFmtId="0" fontId="53" fillId="3" borderId="15" xfId="0" applyFont="1" applyFill="1" applyBorder="1" applyAlignment="1">
      <alignment horizontal="center" vertical="center" wrapText="1"/>
    </xf>
    <xf numFmtId="49" fontId="53" fillId="3" borderId="15" xfId="0" applyNumberFormat="1" applyFont="1" applyFill="1" applyBorder="1" applyAlignment="1">
      <alignment horizontal="center" vertical="center" wrapText="1"/>
    </xf>
    <xf numFmtId="3" fontId="39" fillId="3" borderId="15" xfId="0" applyNumberFormat="1" applyFont="1" applyFill="1" applyBorder="1" applyAlignment="1">
      <alignment horizontal="center" vertical="center" wrapText="1"/>
    </xf>
    <xf numFmtId="167" fontId="39" fillId="3" borderId="15" xfId="1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49" fontId="39" fillId="3" borderId="0" xfId="0" applyNumberFormat="1" applyFont="1" applyFill="1" applyBorder="1" applyAlignment="1">
      <alignment horizontal="center"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49" fontId="53" fillId="3" borderId="0" xfId="0" applyNumberFormat="1" applyFont="1" applyFill="1" applyBorder="1" applyAlignment="1">
      <alignment horizontal="center" vertical="center" wrapText="1"/>
    </xf>
    <xf numFmtId="3" fontId="39" fillId="3" borderId="0" xfId="0" applyNumberFormat="1" applyFont="1" applyFill="1" applyBorder="1" applyAlignment="1">
      <alignment horizontal="center" vertical="center" wrapText="1"/>
    </xf>
    <xf numFmtId="167" fontId="39" fillId="3" borderId="0" xfId="1" applyNumberFormat="1" applyFont="1" applyFill="1" applyBorder="1" applyAlignment="1">
      <alignment horizontal="right" vertical="center" wrapText="1"/>
    </xf>
    <xf numFmtId="9" fontId="39" fillId="3" borderId="0" xfId="0" applyNumberFormat="1" applyFont="1" applyFill="1" applyBorder="1" applyAlignment="1">
      <alignment horizontal="right" vertical="center" wrapText="1"/>
    </xf>
    <xf numFmtId="0" fontId="38" fillId="0" borderId="0" xfId="0" applyFont="1" applyBorder="1"/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49" fontId="38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right" vertical="center"/>
    </xf>
    <xf numFmtId="9" fontId="38" fillId="0" borderId="0" xfId="0" applyNumberFormat="1" applyFont="1" applyBorder="1" applyAlignment="1">
      <alignment horizontal="right" vertical="center"/>
    </xf>
    <xf numFmtId="0" fontId="54" fillId="0" borderId="0" xfId="0" applyFont="1" applyBorder="1" applyAlignment="1">
      <alignment vertical="center"/>
    </xf>
    <xf numFmtId="0" fontId="3" fillId="0" borderId="0" xfId="0" applyFont="1" applyBorder="1"/>
    <xf numFmtId="0" fontId="4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55" fillId="0" borderId="0" xfId="0" applyFont="1"/>
    <xf numFmtId="0" fontId="55" fillId="0" borderId="0" xfId="0" applyFont="1" applyAlignment="1">
      <alignment horizontal="right"/>
    </xf>
    <xf numFmtId="0" fontId="44" fillId="0" borderId="0" xfId="0" applyFont="1"/>
    <xf numFmtId="0" fontId="44" fillId="0" borderId="0" xfId="0" applyFont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9" fontId="44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right"/>
    </xf>
    <xf numFmtId="3" fontId="44" fillId="0" borderId="31" xfId="0" applyNumberFormat="1" applyFont="1" applyBorder="1" applyAlignment="1">
      <alignment horizontal="center" vertical="center" wrapText="1"/>
    </xf>
    <xf numFmtId="49" fontId="44" fillId="2" borderId="17" xfId="0" applyNumberFormat="1" applyFont="1" applyFill="1" applyBorder="1" applyAlignment="1">
      <alignment horizontal="center" vertical="center"/>
    </xf>
    <xf numFmtId="49" fontId="44" fillId="0" borderId="18" xfId="0" applyNumberFormat="1" applyFont="1" applyBorder="1" applyAlignment="1">
      <alignment horizontal="center" vertical="center"/>
    </xf>
    <xf numFmtId="0" fontId="44" fillId="0" borderId="18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7" xfId="0" quotePrefix="1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vertical="center" wrapText="1"/>
    </xf>
    <xf numFmtId="0" fontId="5" fillId="0" borderId="33" xfId="0" quotePrefix="1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4" fillId="0" borderId="15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3" fillId="0" borderId="12" xfId="0" quotePrefix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5" fillId="0" borderId="31" xfId="0" applyNumberFormat="1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vertical="center" wrapText="1"/>
    </xf>
    <xf numFmtId="3" fontId="44" fillId="0" borderId="3" xfId="0" applyNumberFormat="1" applyFont="1" applyFill="1" applyBorder="1" applyAlignment="1">
      <alignment horizontal="right" vertical="center"/>
    </xf>
    <xf numFmtId="164" fontId="0" fillId="0" borderId="0" xfId="0" applyNumberFormat="1" applyFill="1" applyBorder="1"/>
    <xf numFmtId="164" fontId="16" fillId="0" borderId="0" xfId="0" applyNumberFormat="1" applyFont="1" applyFill="1" applyBorder="1" applyAlignment="1">
      <alignment horizontal="right" vertical="center"/>
    </xf>
    <xf numFmtId="164" fontId="8" fillId="2" borderId="13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8" fontId="44" fillId="0" borderId="18" xfId="0" applyNumberFormat="1" applyFont="1" applyFill="1" applyBorder="1" applyAlignment="1">
      <alignment horizontal="right" vertical="center"/>
    </xf>
    <xf numFmtId="9" fontId="43" fillId="0" borderId="18" xfId="0" applyNumberFormat="1" applyFont="1" applyFill="1" applyBorder="1" applyAlignment="1">
      <alignment horizontal="right" vertical="center"/>
    </xf>
    <xf numFmtId="9" fontId="43" fillId="0" borderId="18" xfId="0" applyNumberFormat="1" applyFont="1" applyFill="1" applyBorder="1" applyAlignment="1">
      <alignment vertical="center"/>
    </xf>
    <xf numFmtId="3" fontId="43" fillId="0" borderId="3" xfId="0" applyNumberFormat="1" applyFont="1" applyFill="1" applyBorder="1" applyAlignment="1">
      <alignment vertical="center"/>
    </xf>
    <xf numFmtId="168" fontId="43" fillId="0" borderId="18" xfId="0" applyNumberFormat="1" applyFont="1" applyFill="1" applyBorder="1" applyAlignment="1">
      <alignment vertical="center"/>
    </xf>
    <xf numFmtId="49" fontId="49" fillId="0" borderId="12" xfId="0" quotePrefix="1" applyNumberFormat="1" applyFont="1" applyFill="1" applyBorder="1" applyAlignment="1">
      <alignment vertical="center" wrapText="1"/>
    </xf>
    <xf numFmtId="0" fontId="45" fillId="0" borderId="12" xfId="0" applyFont="1" applyFill="1" applyBorder="1" applyAlignment="1">
      <alignment vertical="center" wrapText="1"/>
    </xf>
    <xf numFmtId="0" fontId="2" fillId="0" borderId="25" xfId="0" quotePrefix="1" applyFont="1" applyFill="1" applyBorder="1" applyAlignment="1">
      <alignment horizontal="left" vertical="center" wrapText="1"/>
    </xf>
    <xf numFmtId="3" fontId="48" fillId="0" borderId="25" xfId="0" applyNumberFormat="1" applyFont="1" applyFill="1" applyBorder="1" applyAlignment="1">
      <alignment vertical="center" wrapText="1"/>
    </xf>
    <xf numFmtId="3" fontId="48" fillId="0" borderId="38" xfId="0" applyNumberFormat="1" applyFont="1" applyFill="1" applyBorder="1" applyAlignment="1">
      <alignment vertical="center" wrapText="1"/>
    </xf>
    <xf numFmtId="3" fontId="43" fillId="2" borderId="25" xfId="0" applyNumberFormat="1" applyFont="1" applyFill="1" applyBorder="1" applyAlignment="1">
      <alignment vertical="center"/>
    </xf>
    <xf numFmtId="3" fontId="43" fillId="0" borderId="25" xfId="0" applyNumberFormat="1" applyFont="1" applyBorder="1" applyAlignment="1">
      <alignment vertical="center" wrapText="1"/>
    </xf>
    <xf numFmtId="168" fontId="43" fillId="0" borderId="49" xfId="0" applyNumberFormat="1" applyFont="1" applyBorder="1" applyAlignment="1">
      <alignment vertical="center" wrapText="1"/>
    </xf>
    <xf numFmtId="167" fontId="39" fillId="3" borderId="25" xfId="1" applyNumberFormat="1" applyFont="1" applyFill="1" applyBorder="1" applyAlignment="1">
      <alignment horizontal="right" vertical="center" wrapText="1"/>
    </xf>
    <xf numFmtId="168" fontId="43" fillId="0" borderId="29" xfId="0" applyNumberFormat="1" applyFont="1" applyBorder="1" applyAlignment="1">
      <alignment horizontal="right" vertical="center"/>
    </xf>
    <xf numFmtId="49" fontId="44" fillId="2" borderId="9" xfId="0" applyNumberFormat="1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/>
    <xf numFmtId="0" fontId="31" fillId="0" borderId="0" xfId="0" applyFont="1"/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49" fontId="14" fillId="3" borderId="36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right" vertical="center" wrapText="1"/>
    </xf>
    <xf numFmtId="0" fontId="18" fillId="0" borderId="0" xfId="0" applyFont="1"/>
    <xf numFmtId="0" fontId="17" fillId="0" borderId="14" xfId="0" applyFont="1" applyBorder="1" applyAlignment="1">
      <alignment horizontal="center" vertical="center"/>
    </xf>
    <xf numFmtId="49" fontId="17" fillId="3" borderId="36" xfId="0" applyNumberFormat="1" applyFont="1" applyFill="1" applyBorder="1" applyAlignment="1">
      <alignment horizontal="center" vertical="center" wrapText="1"/>
    </xf>
    <xf numFmtId="49" fontId="17" fillId="0" borderId="36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right" vertical="center" wrapText="1"/>
    </xf>
    <xf numFmtId="0" fontId="56" fillId="0" borderId="0" xfId="0" applyFont="1"/>
    <xf numFmtId="0" fontId="7" fillId="0" borderId="7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3" fontId="17" fillId="0" borderId="10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0" fontId="17" fillId="0" borderId="21" xfId="0" applyFont="1" applyBorder="1" applyAlignment="1">
      <alignment horizontal="left" vertical="center" wrapText="1"/>
    </xf>
    <xf numFmtId="3" fontId="17" fillId="0" borderId="22" xfId="0" applyNumberFormat="1" applyFont="1" applyBorder="1" applyAlignment="1">
      <alignment horizontal="right" vertical="center" wrapText="1"/>
    </xf>
    <xf numFmtId="0" fontId="57" fillId="0" borderId="15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9" fontId="31" fillId="3" borderId="0" xfId="0" applyNumberFormat="1" applyFont="1" applyFill="1" applyAlignment="1">
      <alignment horizontal="center" vertical="center" wrapText="1"/>
    </xf>
    <xf numFmtId="49" fontId="31" fillId="0" borderId="0" xfId="0" applyNumberFormat="1" applyFont="1"/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9" fontId="7" fillId="0" borderId="53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49" fontId="17" fillId="0" borderId="27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3" fontId="17" fillId="0" borderId="19" xfId="0" applyNumberFormat="1" applyFont="1" applyBorder="1" applyAlignment="1">
      <alignment horizontal="right" vertical="center" wrapText="1"/>
    </xf>
    <xf numFmtId="3" fontId="17" fillId="0" borderId="28" xfId="0" applyNumberFormat="1" applyFont="1" applyBorder="1" applyAlignment="1">
      <alignment horizontal="right" vertical="center" wrapText="1"/>
    </xf>
    <xf numFmtId="164" fontId="27" fillId="0" borderId="34" xfId="0" applyNumberFormat="1" applyFont="1" applyFill="1" applyBorder="1" applyAlignment="1">
      <alignment horizontal="center" vertical="center"/>
    </xf>
    <xf numFmtId="164" fontId="20" fillId="0" borderId="34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64" fontId="0" fillId="0" borderId="0" xfId="0" applyNumberFormat="1" applyFont="1"/>
    <xf numFmtId="164" fontId="13" fillId="0" borderId="0" xfId="0" applyNumberFormat="1" applyFont="1"/>
    <xf numFmtId="167" fontId="55" fillId="0" borderId="0" xfId="0" applyNumberFormat="1" applyFont="1"/>
    <xf numFmtId="164" fontId="0" fillId="0" borderId="0" xfId="0" applyNumberFormat="1"/>
    <xf numFmtId="3" fontId="27" fillId="0" borderId="13" xfId="0" applyNumberFormat="1" applyFont="1" applyFill="1" applyBorder="1" applyAlignment="1">
      <alignment horizontal="center"/>
    </xf>
    <xf numFmtId="0" fontId="20" fillId="0" borderId="0" xfId="0" applyFont="1" applyBorder="1"/>
    <xf numFmtId="4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Continuous" vertical="center"/>
    </xf>
    <xf numFmtId="0" fontId="27" fillId="0" borderId="0" xfId="0" quotePrefix="1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wrapText="1"/>
    </xf>
    <xf numFmtId="0" fontId="37" fillId="4" borderId="0" xfId="0" applyFont="1" applyFill="1"/>
    <xf numFmtId="0" fontId="14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9" fontId="7" fillId="0" borderId="48" xfId="0" applyNumberFormat="1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168" fontId="44" fillId="2" borderId="19" xfId="0" applyNumberFormat="1" applyFont="1" applyFill="1" applyBorder="1" applyAlignment="1">
      <alignment horizontal="right" vertical="center"/>
    </xf>
    <xf numFmtId="168" fontId="44" fillId="2" borderId="10" xfId="0" applyNumberFormat="1" applyFont="1" applyFill="1" applyBorder="1" applyAlignment="1">
      <alignment horizontal="right" vertical="center"/>
    </xf>
    <xf numFmtId="168" fontId="43" fillId="2" borderId="10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 wrapText="1"/>
    </xf>
    <xf numFmtId="3" fontId="17" fillId="2" borderId="10" xfId="0" applyNumberFormat="1" applyFont="1" applyFill="1" applyBorder="1" applyAlignment="1">
      <alignment horizontal="right" vertical="center" wrapText="1"/>
    </xf>
    <xf numFmtId="0" fontId="56" fillId="2" borderId="0" xfId="0" applyFont="1" applyFill="1"/>
    <xf numFmtId="3" fontId="44" fillId="2" borderId="18" xfId="0" applyNumberFormat="1" applyFont="1" applyFill="1" applyBorder="1" applyAlignment="1">
      <alignment horizontal="right" vertical="center"/>
    </xf>
    <xf numFmtId="0" fontId="59" fillId="0" borderId="3" xfId="0" applyFont="1" applyFill="1" applyBorder="1" applyAlignment="1">
      <alignment horizontal="centerContinuous" vertical="center" wrapText="1"/>
    </xf>
    <xf numFmtId="0" fontId="59" fillId="0" borderId="5" xfId="0" applyFont="1" applyFill="1" applyBorder="1" applyAlignment="1">
      <alignment horizontal="centerContinuous" vertical="center"/>
    </xf>
    <xf numFmtId="49" fontId="31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3" fillId="0" borderId="54" xfId="0" applyFont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164" fontId="6" fillId="2" borderId="32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/>
    </xf>
    <xf numFmtId="164" fontId="5" fillId="2" borderId="34" xfId="0" applyNumberFormat="1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33" fillId="0" borderId="0" xfId="0" quotePrefix="1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4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 wrapText="1"/>
    </xf>
    <xf numFmtId="0" fontId="27" fillId="0" borderId="5" xfId="0" applyFont="1" applyFill="1" applyBorder="1" applyAlignment="1">
      <alignment horizontal="center" wrapText="1"/>
    </xf>
    <xf numFmtId="0" fontId="59" fillId="0" borderId="3" xfId="0" applyFont="1" applyFill="1" applyBorder="1" applyAlignment="1">
      <alignment horizontal="center" vertical="center" wrapText="1"/>
    </xf>
    <xf numFmtId="0" fontId="59" fillId="0" borderId="5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wrapText="1"/>
    </xf>
    <xf numFmtId="0" fontId="31" fillId="0" borderId="5" xfId="0" applyFont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4" fillId="0" borderId="0" xfId="0" quotePrefix="1" applyNumberFormat="1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9" fontId="7" fillId="0" borderId="21" xfId="0" applyNumberFormat="1" applyFont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7" fillId="0" borderId="47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3" fontId="44" fillId="0" borderId="12" xfId="0" applyNumberFormat="1" applyFont="1" applyFill="1" applyBorder="1" applyAlignment="1">
      <alignment horizontal="center" vertical="center" wrapText="1"/>
    </xf>
    <xf numFmtId="3" fontId="44" fillId="0" borderId="18" xfId="0" applyNumberFormat="1" applyFont="1" applyFill="1" applyBorder="1" applyAlignment="1">
      <alignment horizontal="center" vertical="center" wrapText="1"/>
    </xf>
    <xf numFmtId="49" fontId="44" fillId="2" borderId="11" xfId="0" applyNumberFormat="1" applyFont="1" applyFill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49" fontId="44" fillId="0" borderId="12" xfId="0" applyNumberFormat="1" applyFont="1" applyBorder="1" applyAlignment="1">
      <alignment horizontal="center" vertical="center"/>
    </xf>
    <xf numFmtId="49" fontId="44" fillId="0" borderId="18" xfId="0" applyNumberFormat="1" applyFont="1" applyBorder="1" applyAlignment="1">
      <alignment horizontal="center" vertical="center"/>
    </xf>
    <xf numFmtId="0" fontId="44" fillId="0" borderId="12" xfId="0" applyFont="1" applyBorder="1" applyAlignment="1">
      <alignment horizontal="left" vertical="center" wrapText="1"/>
    </xf>
    <xf numFmtId="0" fontId="44" fillId="0" borderId="18" xfId="0" applyFont="1" applyBorder="1" applyAlignment="1">
      <alignment horizontal="left" vertical="center" wrapText="1"/>
    </xf>
    <xf numFmtId="3" fontId="44" fillId="0" borderId="23" xfId="0" applyNumberFormat="1" applyFont="1" applyBorder="1" applyAlignment="1">
      <alignment horizontal="center" vertical="center" wrapText="1"/>
    </xf>
    <xf numFmtId="3" fontId="44" fillId="0" borderId="31" xfId="0" applyNumberFormat="1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left" vertical="center" wrapText="1"/>
    </xf>
    <xf numFmtId="0" fontId="47" fillId="0" borderId="27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left" vertical="center" wrapText="1"/>
    </xf>
    <xf numFmtId="0" fontId="3" fillId="0" borderId="18" xfId="0" quotePrefix="1" applyFont="1" applyFill="1" applyBorder="1" applyAlignment="1">
      <alignment horizontal="left" vertical="center" wrapText="1"/>
    </xf>
    <xf numFmtId="3" fontId="44" fillId="0" borderId="23" xfId="0" applyNumberFormat="1" applyFont="1" applyFill="1" applyBorder="1" applyAlignment="1">
      <alignment horizontal="center" vertical="center" wrapText="1"/>
    </xf>
    <xf numFmtId="3" fontId="44" fillId="0" borderId="31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horizontal="left" vertical="center" wrapText="1"/>
    </xf>
    <xf numFmtId="49" fontId="3" fillId="0" borderId="18" xfId="0" quotePrefix="1" applyNumberFormat="1" applyFont="1" applyFill="1" applyBorder="1" applyAlignment="1">
      <alignment horizontal="left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7" xfId="0" quotePrefix="1" applyNumberFormat="1" applyFont="1" applyFill="1" applyBorder="1" applyAlignment="1">
      <alignment horizontal="left" vertical="center" wrapText="1"/>
    </xf>
    <xf numFmtId="3" fontId="45" fillId="0" borderId="12" xfId="0" applyNumberFormat="1" applyFont="1" applyFill="1" applyBorder="1" applyAlignment="1">
      <alignment horizontal="center" vertical="center" wrapText="1"/>
    </xf>
    <xf numFmtId="3" fontId="45" fillId="0" borderId="18" xfId="0" applyNumberFormat="1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3" fontId="44" fillId="0" borderId="12" xfId="0" applyNumberFormat="1" applyFont="1" applyBorder="1" applyAlignment="1">
      <alignment horizontal="center" vertical="center" wrapText="1"/>
    </xf>
    <xf numFmtId="3" fontId="44" fillId="0" borderId="18" xfId="0" applyNumberFormat="1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quotePrefix="1" applyFont="1" applyFill="1" applyBorder="1" applyAlignment="1">
      <alignment horizontal="left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168" fontId="43" fillId="0" borderId="13" xfId="0" applyNumberFormat="1" applyFont="1" applyBorder="1" applyAlignment="1">
      <alignment horizontal="center" vertical="center"/>
    </xf>
    <xf numFmtId="168" fontId="43" fillId="0" borderId="28" xfId="0" applyNumberFormat="1" applyFont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 wrapText="1"/>
    </xf>
    <xf numFmtId="0" fontId="45" fillId="0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4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49" fontId="7" fillId="0" borderId="47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9" fontId="14" fillId="0" borderId="51" xfId="0" applyNumberFormat="1" applyFont="1" applyBorder="1" applyAlignment="1">
      <alignment horizontal="left" vertical="center" wrapText="1"/>
    </xf>
    <xf numFmtId="49" fontId="14" fillId="0" borderId="36" xfId="0" applyNumberFormat="1" applyFont="1" applyBorder="1" applyAlignment="1">
      <alignment horizontal="left" vertical="center" wrapText="1"/>
    </xf>
    <xf numFmtId="49" fontId="17" fillId="0" borderId="30" xfId="0" applyNumberFormat="1" applyFont="1" applyBorder="1" applyAlignment="1">
      <alignment horizontal="left" vertical="center" wrapText="1"/>
    </xf>
    <xf numFmtId="49" fontId="17" fillId="0" borderId="31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Обычный 9 2 4 2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topLeftCell="A7" zoomScale="50" zoomScaleNormal="100" zoomScaleSheetLayoutView="50" workbookViewId="0">
      <selection activeCell="E93" sqref="E93"/>
    </sheetView>
  </sheetViews>
  <sheetFormatPr defaultColWidth="8.85546875" defaultRowHeight="12.75" x14ac:dyDescent="0.2"/>
  <cols>
    <col min="1" max="1" width="11.28515625" style="198" customWidth="1"/>
    <col min="2" max="2" width="66.5703125" style="198" customWidth="1"/>
    <col min="3" max="4" width="15.7109375" style="198" customWidth="1"/>
    <col min="5" max="5" width="17.28515625" style="198" customWidth="1"/>
    <col min="6" max="6" width="15.7109375" style="198" customWidth="1"/>
    <col min="7" max="7" width="17.140625" style="198" customWidth="1"/>
    <col min="8" max="16384" width="8.85546875" style="198"/>
  </cols>
  <sheetData>
    <row r="1" spans="1:9" ht="15.75" x14ac:dyDescent="0.2">
      <c r="D1" s="192" t="s">
        <v>304</v>
      </c>
      <c r="E1" s="4"/>
      <c r="F1" s="5"/>
    </row>
    <row r="2" spans="1:9" ht="15.75" x14ac:dyDescent="0.2">
      <c r="D2" s="192" t="s">
        <v>8</v>
      </c>
      <c r="E2" s="4"/>
      <c r="F2" s="5"/>
    </row>
    <row r="3" spans="1:9" ht="15.75" x14ac:dyDescent="0.25">
      <c r="D3" s="126" t="s">
        <v>681</v>
      </c>
      <c r="E3" s="7"/>
      <c r="F3" s="5"/>
    </row>
    <row r="4" spans="1:9" ht="15.75" x14ac:dyDescent="0.25">
      <c r="D4" s="6" t="s">
        <v>682</v>
      </c>
      <c r="E4" s="127"/>
      <c r="F4" s="5"/>
    </row>
    <row r="5" spans="1:9" ht="15.75" x14ac:dyDescent="0.2">
      <c r="D5" s="901" t="s">
        <v>307</v>
      </c>
      <c r="E5" s="901"/>
      <c r="F5" s="5"/>
    </row>
    <row r="7" spans="1:9" ht="15.75" x14ac:dyDescent="0.2">
      <c r="D7" s="902" t="s">
        <v>308</v>
      </c>
      <c r="E7" s="902"/>
      <c r="F7" s="902"/>
      <c r="G7" s="902"/>
      <c r="H7" s="902"/>
      <c r="I7" s="902"/>
    </row>
    <row r="8" spans="1:9" ht="15.75" x14ac:dyDescent="0.2">
      <c r="D8" s="903" t="s">
        <v>198</v>
      </c>
      <c r="E8" s="903"/>
      <c r="F8" s="903"/>
      <c r="G8" s="199"/>
      <c r="H8" s="199"/>
      <c r="I8" s="199"/>
    </row>
    <row r="9" spans="1:9" ht="15.75" x14ac:dyDescent="0.2">
      <c r="D9" s="901" t="s">
        <v>309</v>
      </c>
      <c r="E9" s="901"/>
      <c r="F9" s="901"/>
      <c r="G9" s="199"/>
      <c r="H9" s="199"/>
      <c r="I9" s="199"/>
    </row>
    <row r="10" spans="1:9" ht="15.75" x14ac:dyDescent="0.2">
      <c r="D10" s="901" t="s">
        <v>205</v>
      </c>
      <c r="E10" s="901"/>
      <c r="F10" s="901"/>
      <c r="G10" s="199"/>
      <c r="H10" s="199"/>
      <c r="I10" s="199"/>
    </row>
    <row r="11" spans="1:9" ht="15.75" x14ac:dyDescent="0.25">
      <c r="D11" s="904" t="s">
        <v>222</v>
      </c>
      <c r="E11" s="904"/>
      <c r="F11" s="904"/>
      <c r="G11" s="903"/>
      <c r="H11" s="903"/>
      <c r="I11" s="903"/>
    </row>
    <row r="12" spans="1:9" ht="15.75" x14ac:dyDescent="0.25">
      <c r="D12" s="904" t="s">
        <v>310</v>
      </c>
      <c r="E12" s="905"/>
      <c r="F12" s="905"/>
      <c r="G12" s="901"/>
      <c r="H12" s="901"/>
      <c r="I12" s="901"/>
    </row>
    <row r="13" spans="1:9" ht="15.75" x14ac:dyDescent="0.25">
      <c r="D13" s="905" t="s">
        <v>311</v>
      </c>
      <c r="E13" s="905"/>
      <c r="F13" s="905"/>
      <c r="G13" s="901"/>
      <c r="H13" s="901"/>
      <c r="I13" s="901"/>
    </row>
    <row r="14" spans="1:9" ht="34.5" customHeight="1" x14ac:dyDescent="0.3">
      <c r="A14" s="908" t="s">
        <v>312</v>
      </c>
      <c r="B14" s="909"/>
      <c r="C14" s="909"/>
      <c r="D14" s="909"/>
      <c r="E14" s="909"/>
      <c r="F14" s="909"/>
      <c r="G14" s="904"/>
      <c r="H14" s="904"/>
      <c r="I14" s="904"/>
    </row>
    <row r="15" spans="1:9" ht="15.75" x14ac:dyDescent="0.25">
      <c r="A15" s="910" t="s">
        <v>211</v>
      </c>
      <c r="B15" s="910"/>
      <c r="C15" s="200"/>
      <c r="D15" s="200"/>
      <c r="E15" s="200"/>
      <c r="F15" s="200"/>
      <c r="G15" s="905"/>
      <c r="H15" s="905"/>
      <c r="I15" s="905"/>
    </row>
    <row r="16" spans="1:9" ht="16.5" thickBot="1" x14ac:dyDescent="0.3">
      <c r="A16" s="200" t="s">
        <v>0</v>
      </c>
      <c r="B16" s="200"/>
      <c r="C16" s="200"/>
      <c r="D16" s="200"/>
      <c r="E16" s="200"/>
      <c r="F16" s="201" t="s">
        <v>1</v>
      </c>
      <c r="G16" s="905"/>
      <c r="H16" s="905"/>
      <c r="I16" s="905"/>
    </row>
    <row r="17" spans="1:7" ht="15.75" x14ac:dyDescent="0.2">
      <c r="A17" s="911" t="s">
        <v>176</v>
      </c>
      <c r="B17" s="913" t="s">
        <v>313</v>
      </c>
      <c r="C17" s="913" t="s">
        <v>2</v>
      </c>
      <c r="D17" s="913" t="s">
        <v>3</v>
      </c>
      <c r="E17" s="913" t="s">
        <v>4</v>
      </c>
      <c r="F17" s="915"/>
    </row>
    <row r="18" spans="1:7" x14ac:dyDescent="0.2">
      <c r="A18" s="912"/>
      <c r="B18" s="914"/>
      <c r="C18" s="914"/>
      <c r="D18" s="914"/>
      <c r="E18" s="914" t="s">
        <v>5</v>
      </c>
      <c r="F18" s="916" t="s">
        <v>6</v>
      </c>
    </row>
    <row r="19" spans="1:7" x14ac:dyDescent="0.2">
      <c r="A19" s="912"/>
      <c r="B19" s="914"/>
      <c r="C19" s="914"/>
      <c r="D19" s="914"/>
      <c r="E19" s="914"/>
      <c r="F19" s="916"/>
    </row>
    <row r="20" spans="1:7" ht="15.75" x14ac:dyDescent="0.2">
      <c r="A20" s="760">
        <v>1</v>
      </c>
      <c r="B20" s="761">
        <v>2</v>
      </c>
      <c r="C20" s="761">
        <v>3</v>
      </c>
      <c r="D20" s="761">
        <v>4</v>
      </c>
      <c r="E20" s="761">
        <v>5</v>
      </c>
      <c r="F20" s="762">
        <v>6</v>
      </c>
    </row>
    <row r="21" spans="1:7" ht="15.75" x14ac:dyDescent="0.2">
      <c r="A21" s="203" t="s">
        <v>314</v>
      </c>
      <c r="B21" s="204" t="s">
        <v>315</v>
      </c>
      <c r="C21" s="205">
        <f>C22+C25+C29+C44</f>
        <v>445728500</v>
      </c>
      <c r="D21" s="205">
        <f>D22+D25+D29+D44</f>
        <v>445443700</v>
      </c>
      <c r="E21" s="205">
        <f t="shared" ref="E21:F21" si="0">E22+E25+E29+E44</f>
        <v>284800</v>
      </c>
      <c r="F21" s="206">
        <f t="shared" si="0"/>
        <v>0</v>
      </c>
      <c r="G21" s="207"/>
    </row>
    <row r="22" spans="1:7" ht="47.25" x14ac:dyDescent="0.2">
      <c r="A22" s="208" t="s">
        <v>316</v>
      </c>
      <c r="B22" s="209" t="s">
        <v>317</v>
      </c>
      <c r="C22" s="210">
        <f>C23+C24</f>
        <v>267716000</v>
      </c>
      <c r="D22" s="210">
        <f>D23+D24</f>
        <v>267716000</v>
      </c>
      <c r="E22" s="205">
        <v>0</v>
      </c>
      <c r="F22" s="206">
        <v>0</v>
      </c>
      <c r="G22" s="207"/>
    </row>
    <row r="23" spans="1:7" ht="15.75" x14ac:dyDescent="0.2">
      <c r="A23" s="211" t="s">
        <v>318</v>
      </c>
      <c r="B23" s="212" t="s">
        <v>319</v>
      </c>
      <c r="C23" s="53">
        <f t="shared" ref="C23:C28" si="1">D23</f>
        <v>266265300</v>
      </c>
      <c r="D23" s="53">
        <f>244375300+22170000-7000000+6720000</f>
        <v>266265300</v>
      </c>
      <c r="E23" s="205">
        <v>0</v>
      </c>
      <c r="F23" s="206">
        <v>0</v>
      </c>
      <c r="G23" s="207"/>
    </row>
    <row r="24" spans="1:7" ht="15.75" x14ac:dyDescent="0.2">
      <c r="A24" s="211" t="s">
        <v>320</v>
      </c>
      <c r="B24" s="212" t="s">
        <v>321</v>
      </c>
      <c r="C24" s="53">
        <f t="shared" si="1"/>
        <v>1450700</v>
      </c>
      <c r="D24" s="53">
        <f>13400+1040000+397300</f>
        <v>1450700</v>
      </c>
      <c r="E24" s="53">
        <v>0</v>
      </c>
      <c r="F24" s="206">
        <v>0</v>
      </c>
      <c r="G24" s="207"/>
    </row>
    <row r="25" spans="1:7" ht="31.5" x14ac:dyDescent="0.2">
      <c r="A25" s="208" t="s">
        <v>322</v>
      </c>
      <c r="B25" s="209" t="s">
        <v>323</v>
      </c>
      <c r="C25" s="210">
        <f t="shared" si="1"/>
        <v>17955000</v>
      </c>
      <c r="D25" s="210">
        <f>D26+D27+D28</f>
        <v>17955000</v>
      </c>
      <c r="E25" s="205">
        <v>0</v>
      </c>
      <c r="F25" s="206">
        <v>0</v>
      </c>
      <c r="G25" s="207"/>
    </row>
    <row r="26" spans="1:7" ht="48" customHeight="1" x14ac:dyDescent="0.2">
      <c r="A26" s="211" t="s">
        <v>324</v>
      </c>
      <c r="B26" s="212" t="s">
        <v>325</v>
      </c>
      <c r="C26" s="53">
        <f t="shared" si="1"/>
        <v>1066200</v>
      </c>
      <c r="D26" s="53">
        <f>266200+800000</f>
        <v>1066200</v>
      </c>
      <c r="E26" s="53">
        <v>0</v>
      </c>
      <c r="F26" s="206">
        <v>0</v>
      </c>
      <c r="G26" s="207"/>
    </row>
    <row r="27" spans="1:7" ht="47.25" x14ac:dyDescent="0.2">
      <c r="A27" s="211" t="s">
        <v>326</v>
      </c>
      <c r="B27" s="212" t="s">
        <v>327</v>
      </c>
      <c r="C27" s="53">
        <f t="shared" si="1"/>
        <v>4228100</v>
      </c>
      <c r="D27" s="53">
        <f>5228100-1000000</f>
        <v>4228100</v>
      </c>
      <c r="E27" s="53">
        <v>0</v>
      </c>
      <c r="F27" s="206">
        <v>0</v>
      </c>
      <c r="G27" s="207"/>
    </row>
    <row r="28" spans="1:7" ht="47.25" x14ac:dyDescent="0.2">
      <c r="A28" s="211" t="s">
        <v>328</v>
      </c>
      <c r="B28" s="212" t="s">
        <v>329</v>
      </c>
      <c r="C28" s="53">
        <f t="shared" si="1"/>
        <v>12660700</v>
      </c>
      <c r="D28" s="53">
        <f>12960700-300000</f>
        <v>12660700</v>
      </c>
      <c r="E28" s="53">
        <v>0</v>
      </c>
      <c r="F28" s="206">
        <v>0</v>
      </c>
      <c r="G28" s="785"/>
    </row>
    <row r="29" spans="1:7" ht="31.5" x14ac:dyDescent="0.2">
      <c r="A29" s="208" t="s">
        <v>330</v>
      </c>
      <c r="B29" s="209" t="s">
        <v>331</v>
      </c>
      <c r="C29" s="210">
        <f>C30+C42+C43</f>
        <v>159772700</v>
      </c>
      <c r="D29" s="210">
        <f>D30+D42+D43</f>
        <v>159772700</v>
      </c>
      <c r="E29" s="205">
        <v>0</v>
      </c>
      <c r="F29" s="206">
        <v>0</v>
      </c>
      <c r="G29" s="786"/>
    </row>
    <row r="30" spans="1:7" ht="15.75" x14ac:dyDescent="0.2">
      <c r="A30" s="211" t="s">
        <v>332</v>
      </c>
      <c r="B30" s="212" t="s">
        <v>333</v>
      </c>
      <c r="C30" s="53">
        <f>D30</f>
        <v>120856200</v>
      </c>
      <c r="D30" s="53">
        <f>D31+D36+D41</f>
        <v>120856200</v>
      </c>
      <c r="E30" s="53">
        <v>0</v>
      </c>
      <c r="F30" s="206">
        <v>0</v>
      </c>
      <c r="G30" s="785"/>
    </row>
    <row r="31" spans="1:7" ht="35.25" customHeight="1" x14ac:dyDescent="0.2">
      <c r="A31" s="211"/>
      <c r="B31" s="212" t="s">
        <v>334</v>
      </c>
      <c r="C31" s="53">
        <f>D31+E31</f>
        <v>7065000</v>
      </c>
      <c r="D31" s="53">
        <f>D32+D33+D34+D35</f>
        <v>7065000</v>
      </c>
      <c r="E31" s="53"/>
      <c r="F31" s="206"/>
      <c r="G31" s="207"/>
    </row>
    <row r="32" spans="1:7" ht="67.5" customHeight="1" x14ac:dyDescent="0.2">
      <c r="A32" s="213">
        <v>18010100</v>
      </c>
      <c r="B32" s="212" t="s">
        <v>335</v>
      </c>
      <c r="C32" s="53">
        <f t="shared" ref="C32:C35" si="2">D32+E32</f>
        <v>12000</v>
      </c>
      <c r="D32" s="53">
        <f>14400-2400</f>
        <v>12000</v>
      </c>
      <c r="E32" s="53"/>
      <c r="F32" s="206"/>
      <c r="G32" s="207"/>
    </row>
    <row r="33" spans="1:7" ht="63" x14ac:dyDescent="0.2">
      <c r="A33" s="213">
        <v>18010200</v>
      </c>
      <c r="B33" s="212" t="s">
        <v>336</v>
      </c>
      <c r="C33" s="53">
        <f t="shared" si="2"/>
        <v>470000</v>
      </c>
      <c r="D33" s="53">
        <f>510200-40200</f>
        <v>470000</v>
      </c>
      <c r="E33" s="53"/>
      <c r="F33" s="206"/>
      <c r="G33" s="207"/>
    </row>
    <row r="34" spans="1:7" ht="63" x14ac:dyDescent="0.2">
      <c r="A34" s="213">
        <v>18010300</v>
      </c>
      <c r="B34" s="212" t="s">
        <v>337</v>
      </c>
      <c r="C34" s="53">
        <f t="shared" si="2"/>
        <v>1650000</v>
      </c>
      <c r="D34" s="53">
        <f>1592500+57500</f>
        <v>1650000</v>
      </c>
      <c r="E34" s="53"/>
      <c r="F34" s="206"/>
      <c r="G34" s="207"/>
    </row>
    <row r="35" spans="1:7" ht="47.25" x14ac:dyDescent="0.2">
      <c r="A35" s="213">
        <v>18010400</v>
      </c>
      <c r="B35" s="212" t="s">
        <v>338</v>
      </c>
      <c r="C35" s="53">
        <f t="shared" si="2"/>
        <v>4933000</v>
      </c>
      <c r="D35" s="53">
        <f>3511200+1421800</f>
        <v>4933000</v>
      </c>
      <c r="E35" s="53"/>
      <c r="F35" s="206"/>
      <c r="G35" s="207"/>
    </row>
    <row r="36" spans="1:7" ht="15.75" x14ac:dyDescent="0.2">
      <c r="A36" s="213"/>
      <c r="B36" s="212" t="s">
        <v>339</v>
      </c>
      <c r="C36" s="53">
        <f>D36+E36</f>
        <v>113731200</v>
      </c>
      <c r="D36" s="53">
        <f>D37+D38+D39+D40</f>
        <v>113731200</v>
      </c>
      <c r="E36" s="53"/>
      <c r="F36" s="206"/>
      <c r="G36" s="207"/>
    </row>
    <row r="37" spans="1:7" ht="15.75" x14ac:dyDescent="0.2">
      <c r="A37" s="213">
        <v>18010500</v>
      </c>
      <c r="B37" s="212" t="s">
        <v>340</v>
      </c>
      <c r="C37" s="53">
        <f t="shared" ref="C37:C40" si="3">D37+E37</f>
        <v>76179300</v>
      </c>
      <c r="D37" s="53">
        <f>88760300-12581000</f>
        <v>76179300</v>
      </c>
      <c r="E37" s="53"/>
      <c r="F37" s="206"/>
      <c r="G37" s="207"/>
    </row>
    <row r="38" spans="1:7" ht="15.75" x14ac:dyDescent="0.2">
      <c r="A38" s="213">
        <v>18010600</v>
      </c>
      <c r="B38" s="212" t="s">
        <v>341</v>
      </c>
      <c r="C38" s="53">
        <f t="shared" si="3"/>
        <v>34424100</v>
      </c>
      <c r="D38" s="53">
        <f>31424100+3000000</f>
        <v>34424100</v>
      </c>
      <c r="E38" s="53"/>
      <c r="F38" s="206"/>
      <c r="G38" s="207"/>
    </row>
    <row r="39" spans="1:7" ht="15.75" x14ac:dyDescent="0.2">
      <c r="A39" s="213">
        <v>18010700</v>
      </c>
      <c r="B39" s="212" t="s">
        <v>342</v>
      </c>
      <c r="C39" s="53">
        <f t="shared" si="3"/>
        <v>1150400</v>
      </c>
      <c r="D39" s="53">
        <f>1693900-543500</f>
        <v>1150400</v>
      </c>
      <c r="E39" s="53"/>
      <c r="F39" s="206"/>
      <c r="G39" s="207"/>
    </row>
    <row r="40" spans="1:7" ht="15.75" x14ac:dyDescent="0.2">
      <c r="A40" s="213">
        <v>18010900</v>
      </c>
      <c r="B40" s="212" t="s">
        <v>343</v>
      </c>
      <c r="C40" s="53">
        <f t="shared" si="3"/>
        <v>1977400</v>
      </c>
      <c r="D40" s="53">
        <f>2136000-158600</f>
        <v>1977400</v>
      </c>
      <c r="E40" s="53"/>
      <c r="F40" s="206"/>
      <c r="G40" s="207"/>
    </row>
    <row r="41" spans="1:7" ht="15.75" x14ac:dyDescent="0.2">
      <c r="A41" s="213">
        <v>18011000</v>
      </c>
      <c r="B41" s="212" t="s">
        <v>663</v>
      </c>
      <c r="C41" s="53">
        <f>D41</f>
        <v>60000</v>
      </c>
      <c r="D41" s="53">
        <v>60000</v>
      </c>
      <c r="E41" s="53"/>
      <c r="F41" s="206"/>
      <c r="G41" s="207"/>
    </row>
    <row r="42" spans="1:7" ht="15.75" x14ac:dyDescent="0.2">
      <c r="A42" s="211" t="s">
        <v>344</v>
      </c>
      <c r="B42" s="212" t="s">
        <v>345</v>
      </c>
      <c r="C42" s="53">
        <f>104500-91700</f>
        <v>12800</v>
      </c>
      <c r="D42" s="53">
        <f>104500-91700</f>
        <v>12800</v>
      </c>
      <c r="E42" s="53">
        <v>0</v>
      </c>
      <c r="F42" s="206">
        <v>0</v>
      </c>
      <c r="G42" s="207"/>
    </row>
    <row r="43" spans="1:7" ht="15.75" x14ac:dyDescent="0.2">
      <c r="A43" s="211" t="s">
        <v>346</v>
      </c>
      <c r="B43" s="212" t="s">
        <v>347</v>
      </c>
      <c r="C43" s="53">
        <f>D43</f>
        <v>38903700</v>
      </c>
      <c r="D43" s="53">
        <f>28575700+9000000-1000000+2328000</f>
        <v>38903700</v>
      </c>
      <c r="E43" s="53">
        <v>0</v>
      </c>
      <c r="F43" s="206">
        <v>0</v>
      </c>
      <c r="G43" s="207"/>
    </row>
    <row r="44" spans="1:7" ht="15.75" x14ac:dyDescent="0.2">
      <c r="A44" s="208" t="s">
        <v>348</v>
      </c>
      <c r="B44" s="209" t="s">
        <v>349</v>
      </c>
      <c r="C44" s="210">
        <v>284800</v>
      </c>
      <c r="D44" s="210">
        <v>0</v>
      </c>
      <c r="E44" s="210">
        <v>284800</v>
      </c>
      <c r="F44" s="206">
        <v>0</v>
      </c>
      <c r="G44" s="207"/>
    </row>
    <row r="45" spans="1:7" ht="15.75" x14ac:dyDescent="0.2">
      <c r="A45" s="211" t="s">
        <v>350</v>
      </c>
      <c r="B45" s="212" t="s">
        <v>351</v>
      </c>
      <c r="C45" s="53">
        <v>284800</v>
      </c>
      <c r="D45" s="53">
        <v>0</v>
      </c>
      <c r="E45" s="53">
        <v>284800</v>
      </c>
      <c r="F45" s="214">
        <v>0</v>
      </c>
      <c r="G45" s="207"/>
    </row>
    <row r="46" spans="1:7" ht="15.75" x14ac:dyDescent="0.2">
      <c r="A46" s="203" t="s">
        <v>352</v>
      </c>
      <c r="B46" s="204" t="s">
        <v>353</v>
      </c>
      <c r="C46" s="205">
        <f>C47+C51+C57+C61</f>
        <v>19040800</v>
      </c>
      <c r="D46" s="205">
        <f>D47+D51+D57+D61</f>
        <v>5533700</v>
      </c>
      <c r="E46" s="205">
        <f>E47+E51+E57+E61</f>
        <v>13507100</v>
      </c>
      <c r="F46" s="206">
        <f>F47+F51+F57+F61</f>
        <v>654600</v>
      </c>
      <c r="G46" s="215"/>
    </row>
    <row r="47" spans="1:7" ht="31.5" x14ac:dyDescent="0.2">
      <c r="A47" s="208" t="s">
        <v>354</v>
      </c>
      <c r="B47" s="209" t="s">
        <v>355</v>
      </c>
      <c r="C47" s="210">
        <f>D47</f>
        <v>952000</v>
      </c>
      <c r="D47" s="210">
        <f>D48+D49+D50</f>
        <v>952000</v>
      </c>
      <c r="E47" s="205">
        <v>0</v>
      </c>
      <c r="F47" s="206">
        <v>0</v>
      </c>
      <c r="G47" s="207"/>
    </row>
    <row r="48" spans="1:7" ht="47.25" x14ac:dyDescent="0.2">
      <c r="A48" s="211" t="s">
        <v>356</v>
      </c>
      <c r="B48" s="212" t="s">
        <v>357</v>
      </c>
      <c r="C48" s="53">
        <v>2300</v>
      </c>
      <c r="D48" s="53">
        <v>2300</v>
      </c>
      <c r="E48" s="53">
        <v>0</v>
      </c>
      <c r="F48" s="214">
        <v>0</v>
      </c>
      <c r="G48" s="207"/>
    </row>
    <row r="49" spans="1:7" ht="21.75" customHeight="1" x14ac:dyDescent="0.2">
      <c r="A49" s="211" t="s">
        <v>358</v>
      </c>
      <c r="B49" s="212" t="s">
        <v>359</v>
      </c>
      <c r="C49" s="53">
        <f>D49</f>
        <v>65400</v>
      </c>
      <c r="D49" s="53">
        <f>82700-17300</f>
        <v>65400</v>
      </c>
      <c r="E49" s="53">
        <v>0</v>
      </c>
      <c r="F49" s="214">
        <v>0</v>
      </c>
      <c r="G49" s="207"/>
    </row>
    <row r="50" spans="1:7" ht="31.5" x14ac:dyDescent="0.2">
      <c r="A50" s="211" t="s">
        <v>360</v>
      </c>
      <c r="B50" s="212" t="s">
        <v>361</v>
      </c>
      <c r="C50" s="53">
        <v>884300</v>
      </c>
      <c r="D50" s="53">
        <v>884300</v>
      </c>
      <c r="E50" s="53">
        <v>0</v>
      </c>
      <c r="F50" s="214">
        <v>0</v>
      </c>
      <c r="G50" s="207"/>
    </row>
    <row r="51" spans="1:7" ht="31.5" x14ac:dyDescent="0.2">
      <c r="A51" s="208" t="s">
        <v>362</v>
      </c>
      <c r="B51" s="209" t="s">
        <v>363</v>
      </c>
      <c r="C51" s="210">
        <f>C52+C53+C54+C55+C56</f>
        <v>2703500</v>
      </c>
      <c r="D51" s="210">
        <f t="shared" ref="D51:F51" si="4">D52+D53+D54+D55+D56</f>
        <v>2703500</v>
      </c>
      <c r="E51" s="210">
        <f t="shared" si="4"/>
        <v>0</v>
      </c>
      <c r="F51" s="216">
        <f t="shared" si="4"/>
        <v>0</v>
      </c>
      <c r="G51" s="207"/>
    </row>
    <row r="52" spans="1:7" ht="47.25" x14ac:dyDescent="0.2">
      <c r="A52" s="211" t="s">
        <v>364</v>
      </c>
      <c r="B52" s="212" t="s">
        <v>365</v>
      </c>
      <c r="C52" s="53">
        <f>D52</f>
        <v>90600</v>
      </c>
      <c r="D52" s="53">
        <f>112500-21900</f>
        <v>90600</v>
      </c>
      <c r="E52" s="53">
        <v>0</v>
      </c>
      <c r="F52" s="214">
        <v>0</v>
      </c>
      <c r="G52" s="207"/>
    </row>
    <row r="53" spans="1:7" ht="31.5" x14ac:dyDescent="0.2">
      <c r="A53" s="211" t="s">
        <v>366</v>
      </c>
      <c r="B53" s="212" t="s">
        <v>367</v>
      </c>
      <c r="C53" s="53">
        <f>D53</f>
        <v>1288400</v>
      </c>
      <c r="D53" s="53">
        <f>1320400-32000</f>
        <v>1288400</v>
      </c>
      <c r="E53" s="53">
        <v>0</v>
      </c>
      <c r="F53" s="214">
        <v>0</v>
      </c>
      <c r="G53" s="207"/>
    </row>
    <row r="54" spans="1:7" ht="47.25" x14ac:dyDescent="0.2">
      <c r="A54" s="211" t="s">
        <v>368</v>
      </c>
      <c r="B54" s="212" t="s">
        <v>369</v>
      </c>
      <c r="C54" s="53">
        <f>D54</f>
        <v>444300</v>
      </c>
      <c r="D54" s="53">
        <f>294300+150000</f>
        <v>444300</v>
      </c>
      <c r="E54" s="53">
        <v>0</v>
      </c>
      <c r="F54" s="214">
        <v>0</v>
      </c>
      <c r="G54" s="207"/>
    </row>
    <row r="55" spans="1:7" ht="66" customHeight="1" x14ac:dyDescent="0.2">
      <c r="A55" s="211" t="s">
        <v>370</v>
      </c>
      <c r="B55" s="212" t="s">
        <v>371</v>
      </c>
      <c r="C55" s="53">
        <f>D55</f>
        <v>870000</v>
      </c>
      <c r="D55" s="53">
        <f>1016000-146000</f>
        <v>870000</v>
      </c>
      <c r="E55" s="53">
        <v>0</v>
      </c>
      <c r="F55" s="214">
        <v>0</v>
      </c>
      <c r="G55" s="207"/>
    </row>
    <row r="56" spans="1:7" ht="15.75" x14ac:dyDescent="0.2">
      <c r="A56" s="211" t="s">
        <v>372</v>
      </c>
      <c r="B56" s="212" t="s">
        <v>373</v>
      </c>
      <c r="C56" s="53">
        <v>10200</v>
      </c>
      <c r="D56" s="53">
        <v>10200</v>
      </c>
      <c r="E56" s="205">
        <v>0</v>
      </c>
      <c r="F56" s="206">
        <v>0</v>
      </c>
      <c r="G56" s="207"/>
    </row>
    <row r="57" spans="1:7" ht="15.75" x14ac:dyDescent="0.2">
      <c r="A57" s="208" t="s">
        <v>374</v>
      </c>
      <c r="B57" s="209" t="s">
        <v>375</v>
      </c>
      <c r="C57" s="210">
        <f>C58+C59+C60</f>
        <v>2532800</v>
      </c>
      <c r="D57" s="210">
        <f>D58+D59+D60</f>
        <v>1878200</v>
      </c>
      <c r="E57" s="210">
        <f t="shared" ref="E57:F57" si="5">E58+E59+E60</f>
        <v>654600</v>
      </c>
      <c r="F57" s="216">
        <f t="shared" si="5"/>
        <v>654600</v>
      </c>
      <c r="G57" s="207"/>
    </row>
    <row r="58" spans="1:7" ht="15.75" x14ac:dyDescent="0.2">
      <c r="A58" s="211" t="s">
        <v>376</v>
      </c>
      <c r="B58" s="212" t="s">
        <v>377</v>
      </c>
      <c r="C58" s="53">
        <v>50000</v>
      </c>
      <c r="D58" s="53">
        <v>50000</v>
      </c>
      <c r="E58" s="53">
        <v>0</v>
      </c>
      <c r="F58" s="214">
        <v>0</v>
      </c>
      <c r="G58" s="207"/>
    </row>
    <row r="59" spans="1:7" ht="133.5" customHeight="1" x14ac:dyDescent="0.2">
      <c r="A59" s="211" t="s">
        <v>378</v>
      </c>
      <c r="B59" s="212" t="s">
        <v>379</v>
      </c>
      <c r="C59" s="53">
        <f>493200+1335000</f>
        <v>1828200</v>
      </c>
      <c r="D59" s="53">
        <f>493200+1335000</f>
        <v>1828200</v>
      </c>
      <c r="E59" s="53">
        <v>0</v>
      </c>
      <c r="F59" s="214">
        <v>0</v>
      </c>
      <c r="G59" s="217"/>
    </row>
    <row r="60" spans="1:7" ht="40.15" customHeight="1" x14ac:dyDescent="0.2">
      <c r="A60" s="211" t="s">
        <v>380</v>
      </c>
      <c r="B60" s="212" t="s">
        <v>381</v>
      </c>
      <c r="C60" s="53">
        <v>654600</v>
      </c>
      <c r="D60" s="53">
        <v>0</v>
      </c>
      <c r="E60" s="53">
        <v>654600</v>
      </c>
      <c r="F60" s="214">
        <v>654600</v>
      </c>
      <c r="G60" s="207"/>
    </row>
    <row r="61" spans="1:7" ht="31.5" x14ac:dyDescent="0.2">
      <c r="A61" s="208" t="s">
        <v>382</v>
      </c>
      <c r="B61" s="209" t="s">
        <v>383</v>
      </c>
      <c r="C61" s="210">
        <f>C62</f>
        <v>12852500</v>
      </c>
      <c r="D61" s="210">
        <f t="shared" ref="D61:F61" si="6">D62</f>
        <v>0</v>
      </c>
      <c r="E61" s="210">
        <f t="shared" si="6"/>
        <v>12852500</v>
      </c>
      <c r="F61" s="216">
        <f t="shared" si="6"/>
        <v>0</v>
      </c>
      <c r="G61" s="207"/>
    </row>
    <row r="62" spans="1:7" ht="31.5" x14ac:dyDescent="0.2">
      <c r="A62" s="211" t="s">
        <v>384</v>
      </c>
      <c r="B62" s="212" t="s">
        <v>385</v>
      </c>
      <c r="C62" s="53">
        <v>12852500</v>
      </c>
      <c r="D62" s="53">
        <v>0</v>
      </c>
      <c r="E62" s="53">
        <v>12852500</v>
      </c>
      <c r="F62" s="206">
        <v>0</v>
      </c>
      <c r="G62" s="207"/>
    </row>
    <row r="63" spans="1:7" ht="15.75" x14ac:dyDescent="0.2">
      <c r="A63" s="208" t="s">
        <v>386</v>
      </c>
      <c r="B63" s="209" t="s">
        <v>387</v>
      </c>
      <c r="C63" s="210">
        <f>C64+C65</f>
        <v>200485</v>
      </c>
      <c r="D63" s="210">
        <f t="shared" ref="D63:F63" si="7">D64+D65</f>
        <v>0</v>
      </c>
      <c r="E63" s="210">
        <f>E64+E65</f>
        <v>200485</v>
      </c>
      <c r="F63" s="216">
        <f t="shared" si="7"/>
        <v>200485</v>
      </c>
      <c r="G63" s="207"/>
    </row>
    <row r="64" spans="1:7" ht="47.25" x14ac:dyDescent="0.2">
      <c r="A64" s="211" t="s">
        <v>388</v>
      </c>
      <c r="B64" s="212" t="s">
        <v>389</v>
      </c>
      <c r="C64" s="53">
        <f>E64</f>
        <v>0</v>
      </c>
      <c r="D64" s="53">
        <v>0</v>
      </c>
      <c r="E64" s="53">
        <f>75000-75000</f>
        <v>0</v>
      </c>
      <c r="F64" s="214">
        <f>75000-75000</f>
        <v>0</v>
      </c>
      <c r="G64" s="207"/>
    </row>
    <row r="65" spans="1:7" ht="63" x14ac:dyDescent="0.2">
      <c r="A65" s="211" t="s">
        <v>390</v>
      </c>
      <c r="B65" s="212" t="s">
        <v>391</v>
      </c>
      <c r="C65" s="53">
        <f>E65</f>
        <v>200485</v>
      </c>
      <c r="D65" s="53">
        <v>0</v>
      </c>
      <c r="E65" s="53">
        <f>F65</f>
        <v>200485</v>
      </c>
      <c r="F65" s="214">
        <f>196600+3885</f>
        <v>200485</v>
      </c>
      <c r="G65" s="207"/>
    </row>
    <row r="66" spans="1:7" ht="31.5" x14ac:dyDescent="0.2">
      <c r="A66" s="203"/>
      <c r="B66" s="204" t="s">
        <v>392</v>
      </c>
      <c r="C66" s="205">
        <f>C21+C46+C63</f>
        <v>464969785</v>
      </c>
      <c r="D66" s="205">
        <f>D21+D46+D63</f>
        <v>450977400</v>
      </c>
      <c r="E66" s="205">
        <f>E21+E46+E63</f>
        <v>13992385</v>
      </c>
      <c r="F66" s="206">
        <f>F21+F46+F63</f>
        <v>855085</v>
      </c>
      <c r="G66" s="207"/>
    </row>
    <row r="67" spans="1:7" ht="15.75" x14ac:dyDescent="0.2">
      <c r="A67" s="203" t="s">
        <v>393</v>
      </c>
      <c r="B67" s="218" t="s">
        <v>394</v>
      </c>
      <c r="C67" s="205">
        <f>C68</f>
        <v>110500757</v>
      </c>
      <c r="D67" s="205">
        <f>D68</f>
        <v>110323817</v>
      </c>
      <c r="E67" s="205">
        <f>E68</f>
        <v>176940</v>
      </c>
      <c r="F67" s="206">
        <v>0</v>
      </c>
      <c r="G67" s="207"/>
    </row>
    <row r="68" spans="1:7" ht="15.75" x14ac:dyDescent="0.2">
      <c r="A68" s="203" t="s">
        <v>395</v>
      </c>
      <c r="B68" s="218" t="s">
        <v>396</v>
      </c>
      <c r="C68" s="205">
        <f>C69+C71+C73</f>
        <v>110500757</v>
      </c>
      <c r="D68" s="205">
        <f>D69+D71+D73</f>
        <v>110323817</v>
      </c>
      <c r="E68" s="205">
        <f>E73</f>
        <v>176940</v>
      </c>
      <c r="F68" s="206">
        <v>0</v>
      </c>
      <c r="G68" s="207"/>
    </row>
    <row r="69" spans="1:7" s="222" customFormat="1" ht="31.5" x14ac:dyDescent="0.25">
      <c r="A69" s="219">
        <v>41020000</v>
      </c>
      <c r="B69" s="220" t="s">
        <v>397</v>
      </c>
      <c r="C69" s="205">
        <f>D69</f>
        <v>39314700</v>
      </c>
      <c r="D69" s="205">
        <f>D70</f>
        <v>39314700</v>
      </c>
      <c r="E69" s="205"/>
      <c r="F69" s="206"/>
      <c r="G69" s="221"/>
    </row>
    <row r="70" spans="1:7" s="225" customFormat="1" ht="90.75" customHeight="1" x14ac:dyDescent="0.2">
      <c r="A70" s="213">
        <v>41021400</v>
      </c>
      <c r="B70" s="223" t="s">
        <v>398</v>
      </c>
      <c r="C70" s="53">
        <f>D70</f>
        <v>39314700</v>
      </c>
      <c r="D70" s="53">
        <f>7037400+21702800+10574500</f>
        <v>39314700</v>
      </c>
      <c r="E70" s="53"/>
      <c r="F70" s="214"/>
      <c r="G70" s="224"/>
    </row>
    <row r="71" spans="1:7" ht="31.5" x14ac:dyDescent="0.2">
      <c r="A71" s="203" t="s">
        <v>399</v>
      </c>
      <c r="B71" s="218" t="s">
        <v>400</v>
      </c>
      <c r="C71" s="205">
        <f>D71</f>
        <v>63608200</v>
      </c>
      <c r="D71" s="205">
        <f>D72</f>
        <v>63608200</v>
      </c>
      <c r="E71" s="205">
        <v>0</v>
      </c>
      <c r="F71" s="206">
        <v>0</v>
      </c>
      <c r="G71" s="207"/>
    </row>
    <row r="72" spans="1:7" ht="31.5" x14ac:dyDescent="0.2">
      <c r="A72" s="211" t="s">
        <v>401</v>
      </c>
      <c r="B72" s="223" t="s">
        <v>402</v>
      </c>
      <c r="C72" s="53">
        <f>D72</f>
        <v>63608200</v>
      </c>
      <c r="D72" s="53">
        <v>63608200</v>
      </c>
      <c r="E72" s="53">
        <v>0</v>
      </c>
      <c r="F72" s="214">
        <v>0</v>
      </c>
      <c r="G72" s="207"/>
    </row>
    <row r="73" spans="1:7" ht="31.5" x14ac:dyDescent="0.2">
      <c r="A73" s="208" t="s">
        <v>403</v>
      </c>
      <c r="B73" s="226" t="s">
        <v>404</v>
      </c>
      <c r="C73" s="210">
        <f>C76+C77+C78+C80+C81+C82+C79+C74+C75+C87</f>
        <v>7577857</v>
      </c>
      <c r="D73" s="210">
        <f>D76+D77+D78+D80+D81+D82+D79+D74+D75+D87</f>
        <v>7400917</v>
      </c>
      <c r="E73" s="205">
        <f>E76</f>
        <v>176940</v>
      </c>
      <c r="F73" s="206">
        <v>0</v>
      </c>
      <c r="G73" s="207"/>
    </row>
    <row r="74" spans="1:7" ht="310.5" customHeight="1" x14ac:dyDescent="0.2">
      <c r="A74" s="760">
        <v>41050400</v>
      </c>
      <c r="B74" s="223" t="s">
        <v>405</v>
      </c>
      <c r="C74" s="53">
        <f t="shared" ref="C74:C79" si="8">D74</f>
        <v>3758953</v>
      </c>
      <c r="D74" s="53">
        <v>3758953</v>
      </c>
      <c r="E74" s="205"/>
      <c r="F74" s="206"/>
      <c r="G74" s="207"/>
    </row>
    <row r="75" spans="1:7" ht="300" customHeight="1" x14ac:dyDescent="0.2">
      <c r="A75" s="760">
        <v>41050600</v>
      </c>
      <c r="B75" s="223" t="s">
        <v>406</v>
      </c>
      <c r="C75" s="53">
        <f t="shared" si="8"/>
        <v>1495198</v>
      </c>
      <c r="D75" s="53">
        <v>1495198</v>
      </c>
      <c r="E75" s="205"/>
      <c r="F75" s="206"/>
      <c r="G75" s="207"/>
    </row>
    <row r="76" spans="1:7" ht="40.5" customHeight="1" x14ac:dyDescent="0.2">
      <c r="A76" s="760" t="s">
        <v>407</v>
      </c>
      <c r="B76" s="223" t="s">
        <v>408</v>
      </c>
      <c r="C76" s="53">
        <f>D76+E76</f>
        <v>1637280</v>
      </c>
      <c r="D76" s="53">
        <f>715470+744870</f>
        <v>1460340</v>
      </c>
      <c r="E76" s="53">
        <v>176940</v>
      </c>
      <c r="F76" s="214">
        <v>0</v>
      </c>
      <c r="G76" s="207"/>
    </row>
    <row r="77" spans="1:7" ht="108" customHeight="1" x14ac:dyDescent="0.2">
      <c r="A77" s="227">
        <v>41051200</v>
      </c>
      <c r="B77" s="228" t="s">
        <v>409</v>
      </c>
      <c r="C77" s="229">
        <f t="shared" si="8"/>
        <v>272874</v>
      </c>
      <c r="D77" s="53">
        <f>138306+134568</f>
        <v>272874</v>
      </c>
      <c r="E77" s="53"/>
      <c r="F77" s="214"/>
      <c r="G77" s="207"/>
    </row>
    <row r="78" spans="1:7" ht="102" customHeight="1" x14ac:dyDescent="0.2">
      <c r="A78" s="227">
        <v>41051200</v>
      </c>
      <c r="B78" s="228" t="s">
        <v>410</v>
      </c>
      <c r="C78" s="229">
        <f t="shared" si="8"/>
        <v>164472</v>
      </c>
      <c r="D78" s="53">
        <f>85974+78498</f>
        <v>164472</v>
      </c>
      <c r="E78" s="53"/>
      <c r="F78" s="214"/>
      <c r="G78" s="207"/>
    </row>
    <row r="79" spans="1:7" ht="63" x14ac:dyDescent="0.2">
      <c r="A79" s="227">
        <v>41051700</v>
      </c>
      <c r="B79" s="228" t="s">
        <v>411</v>
      </c>
      <c r="C79" s="230">
        <f t="shared" si="8"/>
        <v>37033</v>
      </c>
      <c r="D79" s="53">
        <v>37033</v>
      </c>
      <c r="E79" s="231"/>
      <c r="F79" s="214"/>
      <c r="G79" s="207"/>
    </row>
    <row r="80" spans="1:7" ht="47.25" x14ac:dyDescent="0.2">
      <c r="A80" s="232">
        <v>41053900</v>
      </c>
      <c r="B80" s="228" t="s">
        <v>412</v>
      </c>
      <c r="C80" s="233">
        <f t="shared" ref="C80:C82" si="9">D80+E80</f>
        <v>25445</v>
      </c>
      <c r="D80" s="234">
        <f>50445-25000</f>
        <v>25445</v>
      </c>
      <c r="E80" s="235"/>
      <c r="F80" s="236"/>
      <c r="G80" s="207"/>
    </row>
    <row r="81" spans="1:7" ht="31.5" x14ac:dyDescent="0.2">
      <c r="A81" s="237">
        <v>41053900</v>
      </c>
      <c r="B81" s="228" t="s">
        <v>413</v>
      </c>
      <c r="C81" s="238">
        <f t="shared" si="9"/>
        <v>82418</v>
      </c>
      <c r="D81" s="234">
        <f>50420+31998</f>
        <v>82418</v>
      </c>
      <c r="E81" s="235"/>
      <c r="F81" s="236"/>
      <c r="G81" s="207"/>
    </row>
    <row r="82" spans="1:7" ht="63" x14ac:dyDescent="0.2">
      <c r="A82" s="237">
        <v>41053900</v>
      </c>
      <c r="B82" s="228" t="s">
        <v>414</v>
      </c>
      <c r="C82" s="238">
        <f t="shared" si="9"/>
        <v>15905</v>
      </c>
      <c r="D82" s="234">
        <f>18905-3000</f>
        <v>15905</v>
      </c>
      <c r="E82" s="235"/>
      <c r="F82" s="236"/>
      <c r="G82" s="207"/>
    </row>
    <row r="83" spans="1:7" ht="0.75" customHeight="1" x14ac:dyDescent="0.2">
      <c r="A83" s="203" t="s">
        <v>393</v>
      </c>
      <c r="B83" s="204" t="s">
        <v>394</v>
      </c>
      <c r="C83" s="205"/>
      <c r="D83" s="205"/>
      <c r="E83" s="205">
        <v>0</v>
      </c>
      <c r="F83" s="206">
        <v>0</v>
      </c>
      <c r="G83" s="207"/>
    </row>
    <row r="84" spans="1:7" ht="15.6" hidden="1" customHeight="1" x14ac:dyDescent="0.2">
      <c r="A84" s="203" t="s">
        <v>395</v>
      </c>
      <c r="B84" s="204" t="s">
        <v>396</v>
      </c>
      <c r="C84" s="205"/>
      <c r="D84" s="205"/>
      <c r="E84" s="205">
        <v>0</v>
      </c>
      <c r="F84" s="206">
        <v>0</v>
      </c>
      <c r="G84" s="207"/>
    </row>
    <row r="85" spans="1:7" ht="31.15" hidden="1" customHeight="1" x14ac:dyDescent="0.2">
      <c r="A85" s="203" t="s">
        <v>399</v>
      </c>
      <c r="B85" s="204" t="s">
        <v>400</v>
      </c>
      <c r="C85" s="205"/>
      <c r="D85" s="205"/>
      <c r="E85" s="205">
        <v>0</v>
      </c>
      <c r="F85" s="206">
        <v>0</v>
      </c>
      <c r="G85" s="207"/>
    </row>
    <row r="86" spans="1:7" ht="31.15" hidden="1" customHeight="1" x14ac:dyDescent="0.2">
      <c r="A86" s="239" t="s">
        <v>401</v>
      </c>
      <c r="B86" s="240" t="s">
        <v>402</v>
      </c>
      <c r="C86" s="115"/>
      <c r="D86" s="115"/>
      <c r="E86" s="115">
        <v>0</v>
      </c>
      <c r="F86" s="241">
        <v>0</v>
      </c>
      <c r="G86" s="207"/>
    </row>
    <row r="87" spans="1:7" ht="63.75" thickBot="1" x14ac:dyDescent="0.25">
      <c r="A87" s="242">
        <v>41057700</v>
      </c>
      <c r="B87" s="243" t="s">
        <v>415</v>
      </c>
      <c r="C87" s="238">
        <f t="shared" ref="C87" si="10">D87+E87</f>
        <v>88279</v>
      </c>
      <c r="D87" s="234">
        <v>88279</v>
      </c>
      <c r="E87" s="244"/>
      <c r="F87" s="245"/>
      <c r="G87" s="207"/>
    </row>
    <row r="88" spans="1:7" ht="16.5" thickBot="1" x14ac:dyDescent="0.25">
      <c r="A88" s="246" t="s">
        <v>7</v>
      </c>
      <c r="B88" s="247" t="s">
        <v>416</v>
      </c>
      <c r="C88" s="248">
        <f>C66+C67</f>
        <v>575470542</v>
      </c>
      <c r="D88" s="248">
        <f>D66+D67</f>
        <v>561301217</v>
      </c>
      <c r="E88" s="248">
        <f>E66+E67</f>
        <v>14169325</v>
      </c>
      <c r="F88" s="249">
        <f>F66+F67</f>
        <v>855085</v>
      </c>
      <c r="G88" s="207"/>
    </row>
    <row r="89" spans="1:7" ht="15.75" x14ac:dyDescent="0.25">
      <c r="A89" s="200"/>
      <c r="B89" s="200"/>
      <c r="C89" s="200"/>
      <c r="D89" s="200"/>
      <c r="E89" s="200"/>
      <c r="F89" s="200"/>
    </row>
    <row r="90" spans="1:7" x14ac:dyDescent="0.2">
      <c r="A90" s="906"/>
      <c r="B90" s="906"/>
      <c r="C90" s="906"/>
      <c r="D90" s="906"/>
      <c r="E90" s="906"/>
      <c r="F90" s="906"/>
    </row>
    <row r="92" spans="1:7" ht="18.75" x14ac:dyDescent="0.2">
      <c r="A92" s="250" t="s">
        <v>683</v>
      </c>
      <c r="B92" s="250"/>
      <c r="C92" s="251"/>
      <c r="D92" s="252"/>
      <c r="E92" s="907" t="s">
        <v>684</v>
      </c>
      <c r="F92" s="907"/>
    </row>
  </sheetData>
  <mergeCells count="26">
    <mergeCell ref="A90:F90"/>
    <mergeCell ref="E92:F92"/>
    <mergeCell ref="A14:F14"/>
    <mergeCell ref="G14:I14"/>
    <mergeCell ref="A15:B15"/>
    <mergeCell ref="G15:I15"/>
    <mergeCell ref="G16:I16"/>
    <mergeCell ref="A17:A19"/>
    <mergeCell ref="B17:B19"/>
    <mergeCell ref="C17:C19"/>
    <mergeCell ref="D17:D19"/>
    <mergeCell ref="E17:F17"/>
    <mergeCell ref="E18:E19"/>
    <mergeCell ref="F18:F19"/>
    <mergeCell ref="D11:F11"/>
    <mergeCell ref="G11:I11"/>
    <mergeCell ref="D12:F12"/>
    <mergeCell ref="G12:I12"/>
    <mergeCell ref="D13:F13"/>
    <mergeCell ref="G13:I13"/>
    <mergeCell ref="D10:F10"/>
    <mergeCell ref="D5:E5"/>
    <mergeCell ref="D7:F7"/>
    <mergeCell ref="G7:I7"/>
    <mergeCell ref="D8:F8"/>
    <mergeCell ref="D9:F9"/>
  </mergeCells>
  <pageMargins left="1.1811023622047245" right="0.39370078740157483" top="0.78740157480314965" bottom="0.78740157480314965" header="0.31496062992125984" footer="0.31496062992125984"/>
  <pageSetup paperSize="9" scale="65" orientation="portrait" r:id="rId1"/>
  <colBreaks count="2" manualBreakCount="2">
    <brk id="6" max="90" man="1"/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topLeftCell="A13" zoomScale="110" zoomScaleNormal="100" zoomScaleSheetLayoutView="110" workbookViewId="0">
      <selection activeCell="A19" sqref="A19:F36"/>
    </sheetView>
  </sheetViews>
  <sheetFormatPr defaultRowHeight="12.75" x14ac:dyDescent="0.2"/>
  <cols>
    <col min="1" max="1" width="11.28515625" customWidth="1"/>
    <col min="2" max="2" width="41" customWidth="1"/>
    <col min="3" max="3" width="13.85546875" customWidth="1"/>
    <col min="4" max="4" width="14.5703125" customWidth="1"/>
    <col min="5" max="5" width="15.5703125" customWidth="1"/>
    <col min="6" max="6" width="16.28515625" customWidth="1"/>
    <col min="9" max="9" width="10" bestFit="1" customWidth="1"/>
  </cols>
  <sheetData>
    <row r="1" spans="1:13" ht="15.75" x14ac:dyDescent="0.2">
      <c r="D1" s="125" t="s">
        <v>212</v>
      </c>
      <c r="E1" s="4"/>
      <c r="F1" s="5"/>
    </row>
    <row r="2" spans="1:13" ht="15.75" x14ac:dyDescent="0.2">
      <c r="D2" s="125" t="s">
        <v>198</v>
      </c>
      <c r="E2" s="4"/>
      <c r="F2" s="5"/>
    </row>
    <row r="3" spans="1:13" ht="15.75" x14ac:dyDescent="0.25">
      <c r="D3" s="126" t="s">
        <v>685</v>
      </c>
      <c r="E3" s="7"/>
      <c r="F3" s="5"/>
    </row>
    <row r="4" spans="1:13" ht="15.75" x14ac:dyDescent="0.25">
      <c r="D4" s="6" t="s">
        <v>682</v>
      </c>
      <c r="E4" s="127"/>
      <c r="F4" s="5"/>
    </row>
    <row r="5" spans="1:13" ht="15.75" x14ac:dyDescent="0.2">
      <c r="D5" s="901" t="s">
        <v>641</v>
      </c>
      <c r="E5" s="901"/>
      <c r="F5" s="5"/>
    </row>
    <row r="7" spans="1:13" ht="15.75" x14ac:dyDescent="0.2">
      <c r="D7" s="3" t="s">
        <v>226</v>
      </c>
      <c r="E7" s="4"/>
      <c r="F7" s="5"/>
    </row>
    <row r="8" spans="1:13" ht="15.75" x14ac:dyDescent="0.2">
      <c r="D8" s="3" t="s">
        <v>8</v>
      </c>
      <c r="E8" s="4"/>
      <c r="F8" s="5"/>
    </row>
    <row r="9" spans="1:13" ht="15.75" x14ac:dyDescent="0.2">
      <c r="D9" s="68" t="s">
        <v>9</v>
      </c>
      <c r="E9" s="4"/>
      <c r="F9" s="5"/>
      <c r="I9" s="128"/>
      <c r="J9" s="128"/>
      <c r="K9" s="128"/>
      <c r="L9" s="128"/>
      <c r="M9" s="128"/>
    </row>
    <row r="10" spans="1:13" ht="15.75" x14ac:dyDescent="0.2">
      <c r="D10" s="68" t="s">
        <v>205</v>
      </c>
      <c r="E10" s="4"/>
      <c r="F10" s="5"/>
      <c r="I10" s="123"/>
      <c r="J10" s="129"/>
      <c r="K10" s="54"/>
      <c r="L10" s="128"/>
      <c r="M10" s="128"/>
    </row>
    <row r="11" spans="1:13" ht="15.75" x14ac:dyDescent="0.25">
      <c r="D11" s="6" t="s">
        <v>223</v>
      </c>
      <c r="E11" s="7"/>
      <c r="F11" s="5"/>
      <c r="I11" s="123"/>
      <c r="J11" s="129"/>
      <c r="K11" s="54"/>
      <c r="L11" s="128"/>
      <c r="M11" s="128"/>
    </row>
    <row r="12" spans="1:13" ht="15.75" x14ac:dyDescent="0.25">
      <c r="D12" s="6" t="s">
        <v>224</v>
      </c>
      <c r="E12" s="4"/>
      <c r="F12" s="5"/>
      <c r="I12" s="124"/>
      <c r="J12" s="129"/>
      <c r="K12" s="54"/>
      <c r="L12" s="128"/>
      <c r="M12" s="128"/>
    </row>
    <row r="13" spans="1:13" ht="15.75" x14ac:dyDescent="0.25">
      <c r="D13" s="924" t="s">
        <v>227</v>
      </c>
      <c r="E13" s="924"/>
      <c r="F13" s="5"/>
      <c r="I13" s="51"/>
      <c r="J13" s="129"/>
      <c r="K13" s="54"/>
      <c r="L13" s="128"/>
      <c r="M13" s="128"/>
    </row>
    <row r="14" spans="1:13" ht="15.75" x14ac:dyDescent="0.2">
      <c r="I14" s="901"/>
      <c r="J14" s="901"/>
      <c r="K14" s="54"/>
      <c r="L14" s="128"/>
      <c r="M14" s="128"/>
    </row>
    <row r="15" spans="1:13" ht="20.25" x14ac:dyDescent="0.3">
      <c r="A15" s="925" t="s">
        <v>213</v>
      </c>
      <c r="B15" s="926"/>
      <c r="C15" s="926"/>
      <c r="D15" s="926"/>
      <c r="E15" s="926"/>
      <c r="F15" s="926"/>
      <c r="I15" s="128"/>
      <c r="J15" s="128"/>
      <c r="K15" s="128"/>
      <c r="L15" s="128"/>
      <c r="M15" s="128"/>
    </row>
    <row r="16" spans="1:13" ht="20.25" x14ac:dyDescent="0.3">
      <c r="A16" s="69"/>
      <c r="B16" s="70"/>
      <c r="C16" s="70"/>
      <c r="D16" s="70"/>
      <c r="E16" s="70"/>
      <c r="F16" s="70"/>
    </row>
    <row r="17" spans="1:9" ht="15.75" x14ac:dyDescent="0.25">
      <c r="A17" s="71" t="s">
        <v>211</v>
      </c>
      <c r="B17" s="1"/>
      <c r="C17" s="1"/>
      <c r="D17" s="1"/>
      <c r="E17" s="1"/>
      <c r="F17" s="1"/>
    </row>
    <row r="18" spans="1:9" ht="16.5" thickBot="1" x14ac:dyDescent="0.3">
      <c r="A18" s="72" t="s">
        <v>0</v>
      </c>
      <c r="B18" s="1"/>
      <c r="C18" s="1"/>
      <c r="D18" s="1"/>
      <c r="E18" s="1"/>
      <c r="F18" s="2" t="s">
        <v>1</v>
      </c>
    </row>
    <row r="19" spans="1:9" ht="15.75" x14ac:dyDescent="0.2">
      <c r="A19" s="927" t="s">
        <v>176</v>
      </c>
      <c r="B19" s="930" t="s">
        <v>177</v>
      </c>
      <c r="C19" s="930" t="s">
        <v>2</v>
      </c>
      <c r="D19" s="930" t="s">
        <v>3</v>
      </c>
      <c r="E19" s="930" t="s">
        <v>4</v>
      </c>
      <c r="F19" s="933"/>
    </row>
    <row r="20" spans="1:9" x14ac:dyDescent="0.2">
      <c r="A20" s="928"/>
      <c r="B20" s="931"/>
      <c r="C20" s="931"/>
      <c r="D20" s="931"/>
      <c r="E20" s="931" t="s">
        <v>5</v>
      </c>
      <c r="F20" s="934" t="s">
        <v>6</v>
      </c>
    </row>
    <row r="21" spans="1:9" ht="44.45" customHeight="1" thickBot="1" x14ac:dyDescent="0.25">
      <c r="A21" s="929"/>
      <c r="B21" s="932"/>
      <c r="C21" s="932"/>
      <c r="D21" s="932"/>
      <c r="E21" s="932"/>
      <c r="F21" s="935"/>
    </row>
    <row r="22" spans="1:9" ht="15.75" x14ac:dyDescent="0.2">
      <c r="A22" s="73">
        <v>1</v>
      </c>
      <c r="B22" s="74">
        <v>2</v>
      </c>
      <c r="C22" s="74">
        <v>3</v>
      </c>
      <c r="D22" s="74">
        <v>4</v>
      </c>
      <c r="E22" s="74">
        <v>5</v>
      </c>
      <c r="F22" s="75">
        <v>6</v>
      </c>
    </row>
    <row r="23" spans="1:9" ht="15.75" x14ac:dyDescent="0.25">
      <c r="A23" s="917" t="s">
        <v>178</v>
      </c>
      <c r="B23" s="918"/>
      <c r="C23" s="918"/>
      <c r="D23" s="918"/>
      <c r="E23" s="918"/>
      <c r="F23" s="919"/>
    </row>
    <row r="24" spans="1:9" ht="15.75" x14ac:dyDescent="0.2">
      <c r="A24" s="76" t="s">
        <v>179</v>
      </c>
      <c r="B24" s="77" t="s">
        <v>180</v>
      </c>
      <c r="C24" s="78">
        <f>C25</f>
        <v>174112252</v>
      </c>
      <c r="D24" s="78">
        <f>D25</f>
        <v>35675833</v>
      </c>
      <c r="E24" s="78">
        <f>E25</f>
        <v>138436419</v>
      </c>
      <c r="F24" s="86">
        <f>F25</f>
        <v>137838740</v>
      </c>
    </row>
    <row r="25" spans="1:9" ht="31.5" x14ac:dyDescent="0.2">
      <c r="A25" s="79" t="s">
        <v>181</v>
      </c>
      <c r="B25" s="80" t="s">
        <v>182</v>
      </c>
      <c r="C25" s="8">
        <f>C26-1000000+C28</f>
        <v>174112252</v>
      </c>
      <c r="D25" s="8">
        <f>D26-1000000+D28</f>
        <v>35675833</v>
      </c>
      <c r="E25" s="8">
        <f>E26+E28</f>
        <v>138436419</v>
      </c>
      <c r="F25" s="81">
        <f>F26+F28</f>
        <v>137838740</v>
      </c>
      <c r="G25" s="868"/>
    </row>
    <row r="26" spans="1:9" ht="15.75" x14ac:dyDescent="0.2">
      <c r="A26" s="79" t="s">
        <v>183</v>
      </c>
      <c r="B26" s="80" t="s">
        <v>184</v>
      </c>
      <c r="C26" s="8">
        <f>D26+E26</f>
        <v>175112252</v>
      </c>
      <c r="D26" s="53">
        <f>1000000+49636916.64+392159.36+300000+16825077+2315500+14723943+35835187+25000000+24302998-4575301-931907</f>
        <v>164824573</v>
      </c>
      <c r="E26" s="8">
        <f>9690000+93504+300000+190000+14175</f>
        <v>10287679</v>
      </c>
      <c r="F26" s="81">
        <v>9690000</v>
      </c>
    </row>
    <row r="27" spans="1:9" ht="15.75" x14ac:dyDescent="0.2">
      <c r="A27" s="79" t="s">
        <v>185</v>
      </c>
      <c r="B27" s="80" t="s">
        <v>186</v>
      </c>
      <c r="C27" s="8">
        <v>1000000</v>
      </c>
      <c r="D27" s="8">
        <v>1000000</v>
      </c>
      <c r="E27" s="8">
        <v>0</v>
      </c>
      <c r="F27" s="81">
        <v>0</v>
      </c>
      <c r="I27" s="868"/>
    </row>
    <row r="28" spans="1:9" ht="47.25" x14ac:dyDescent="0.2">
      <c r="A28" s="79" t="s">
        <v>187</v>
      </c>
      <c r="B28" s="80" t="s">
        <v>188</v>
      </c>
      <c r="C28" s="8">
        <v>0</v>
      </c>
      <c r="D28" s="53">
        <f>-8183990-36730206.64-392159.36-3621464-28742400-28131973-5254151-461478-17959356+10971031-9642593</f>
        <v>-128148740</v>
      </c>
      <c r="E28" s="53">
        <f>45306356+3621464+28742400+28131973+5254151+461478+17959356-10971031+9642593</f>
        <v>128148740</v>
      </c>
      <c r="F28" s="81">
        <f>E28</f>
        <v>128148740</v>
      </c>
    </row>
    <row r="29" spans="1:9" ht="15.75" x14ac:dyDescent="0.25">
      <c r="A29" s="82" t="s">
        <v>7</v>
      </c>
      <c r="B29" s="83" t="s">
        <v>189</v>
      </c>
      <c r="C29" s="84">
        <f>C24</f>
        <v>174112252</v>
      </c>
      <c r="D29" s="84">
        <f>D24</f>
        <v>35675833</v>
      </c>
      <c r="E29" s="84">
        <f>E24</f>
        <v>138436419</v>
      </c>
      <c r="F29" s="85">
        <f>F24</f>
        <v>137838740</v>
      </c>
    </row>
    <row r="30" spans="1:9" ht="15.75" x14ac:dyDescent="0.25">
      <c r="A30" s="920" t="s">
        <v>190</v>
      </c>
      <c r="B30" s="921"/>
      <c r="C30" s="921"/>
      <c r="D30" s="921"/>
      <c r="E30" s="921"/>
      <c r="F30" s="922"/>
    </row>
    <row r="31" spans="1:9" ht="31.5" x14ac:dyDescent="0.2">
      <c r="A31" s="76" t="s">
        <v>191</v>
      </c>
      <c r="B31" s="77" t="s">
        <v>192</v>
      </c>
      <c r="C31" s="78">
        <f t="shared" ref="C31:F32" si="0">C24</f>
        <v>174112252</v>
      </c>
      <c r="D31" s="78">
        <f t="shared" si="0"/>
        <v>35675833</v>
      </c>
      <c r="E31" s="78">
        <f t="shared" si="0"/>
        <v>138436419</v>
      </c>
      <c r="F31" s="86">
        <f t="shared" si="0"/>
        <v>137838740</v>
      </c>
    </row>
    <row r="32" spans="1:9" ht="15.75" x14ac:dyDescent="0.2">
      <c r="A32" s="79" t="s">
        <v>193</v>
      </c>
      <c r="B32" s="80" t="s">
        <v>194</v>
      </c>
      <c r="C32" s="8">
        <f t="shared" si="0"/>
        <v>174112252</v>
      </c>
      <c r="D32" s="8">
        <f t="shared" si="0"/>
        <v>35675833</v>
      </c>
      <c r="E32" s="8">
        <f t="shared" si="0"/>
        <v>138436419</v>
      </c>
      <c r="F32" s="81">
        <f t="shared" si="0"/>
        <v>137838740</v>
      </c>
    </row>
    <row r="33" spans="1:16" ht="15.75" x14ac:dyDescent="0.2">
      <c r="A33" s="79" t="s">
        <v>195</v>
      </c>
      <c r="B33" s="80" t="s">
        <v>184</v>
      </c>
      <c r="C33" s="8">
        <f>D33</f>
        <v>164824573</v>
      </c>
      <c r="D33" s="8">
        <f>D26</f>
        <v>164824573</v>
      </c>
      <c r="E33" s="8">
        <f>E26</f>
        <v>10287679</v>
      </c>
      <c r="F33" s="81">
        <f>F26</f>
        <v>9690000</v>
      </c>
      <c r="I33" s="100"/>
    </row>
    <row r="34" spans="1:16" ht="15.75" x14ac:dyDescent="0.2">
      <c r="A34" s="79" t="s">
        <v>196</v>
      </c>
      <c r="B34" s="80" t="s">
        <v>186</v>
      </c>
      <c r="C34" s="8">
        <v>1000000</v>
      </c>
      <c r="D34" s="8">
        <v>1000000</v>
      </c>
      <c r="E34" s="8">
        <v>0</v>
      </c>
      <c r="F34" s="81">
        <v>0</v>
      </c>
    </row>
    <row r="35" spans="1:16" ht="48" thickBot="1" x14ac:dyDescent="0.25">
      <c r="A35" s="87" t="s">
        <v>197</v>
      </c>
      <c r="B35" s="88" t="s">
        <v>188</v>
      </c>
      <c r="C35" s="34">
        <v>0</v>
      </c>
      <c r="D35" s="34">
        <f t="shared" ref="D35:F36" si="1">D28</f>
        <v>-128148740</v>
      </c>
      <c r="E35" s="34">
        <f t="shared" si="1"/>
        <v>128148740</v>
      </c>
      <c r="F35" s="787">
        <f>F28</f>
        <v>128148740</v>
      </c>
    </row>
    <row r="36" spans="1:16" ht="16.5" thickBot="1" x14ac:dyDescent="0.3">
      <c r="A36" s="89" t="s">
        <v>7</v>
      </c>
      <c r="B36" s="90" t="s">
        <v>189</v>
      </c>
      <c r="C36" s="91">
        <f>C29</f>
        <v>174112252</v>
      </c>
      <c r="D36" s="91">
        <f t="shared" si="1"/>
        <v>35675833</v>
      </c>
      <c r="E36" s="91">
        <f t="shared" si="1"/>
        <v>138436419</v>
      </c>
      <c r="F36" s="92">
        <f t="shared" si="1"/>
        <v>137838740</v>
      </c>
    </row>
    <row r="38" spans="1:16" ht="7.9" customHeight="1" x14ac:dyDescent="0.2"/>
    <row r="39" spans="1:16" s="5" customFormat="1" ht="42.6" customHeight="1" x14ac:dyDescent="0.2">
      <c r="A39" s="937" t="s">
        <v>683</v>
      </c>
      <c r="B39" s="937"/>
      <c r="C39" s="101"/>
      <c r="D39" s="101"/>
      <c r="E39" s="936" t="s">
        <v>684</v>
      </c>
      <c r="F39" s="936"/>
      <c r="G39" s="95"/>
      <c r="H39" s="95"/>
      <c r="I39" s="95"/>
      <c r="K39" s="95"/>
      <c r="L39" s="96"/>
      <c r="M39" s="95"/>
      <c r="N39" s="99"/>
      <c r="O39" s="97"/>
      <c r="P39" s="98"/>
    </row>
    <row r="40" spans="1:16" s="64" customFormat="1" ht="20.25" x14ac:dyDescent="0.3">
      <c r="A40" s="63"/>
      <c r="B40" s="63"/>
      <c r="F40" s="66"/>
    </row>
    <row r="41" spans="1:16" s="65" customFormat="1" ht="15.75" x14ac:dyDescent="0.2">
      <c r="A41" s="67"/>
      <c r="B41" s="67"/>
    </row>
    <row r="42" spans="1:16" ht="15.75" x14ac:dyDescent="0.2">
      <c r="A42" s="923"/>
      <c r="B42" s="923"/>
    </row>
    <row r="43" spans="1:16" ht="15.75" x14ac:dyDescent="0.25">
      <c r="A43" s="1"/>
    </row>
  </sheetData>
  <mergeCells count="16">
    <mergeCell ref="I14:J14"/>
    <mergeCell ref="D5:E5"/>
    <mergeCell ref="A23:F23"/>
    <mergeCell ref="A30:F30"/>
    <mergeCell ref="A42:B42"/>
    <mergeCell ref="D13:E13"/>
    <mergeCell ref="A15:F15"/>
    <mergeCell ref="A19:A21"/>
    <mergeCell ref="B19:B21"/>
    <mergeCell ref="C19:C21"/>
    <mergeCell ref="D19:D21"/>
    <mergeCell ref="E19:F19"/>
    <mergeCell ref="E20:E21"/>
    <mergeCell ref="F20:F21"/>
    <mergeCell ref="E39:F39"/>
    <mergeCell ref="A39:B39"/>
  </mergeCells>
  <pageMargins left="1.1811023622047245" right="0.39370078740157483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view="pageBreakPreview" topLeftCell="A70" zoomScale="83" zoomScaleNormal="100" zoomScaleSheetLayoutView="83" workbookViewId="0">
      <selection activeCell="D69" sqref="D69"/>
    </sheetView>
  </sheetViews>
  <sheetFormatPr defaultColWidth="8.85546875" defaultRowHeight="15.75" x14ac:dyDescent="0.25"/>
  <cols>
    <col min="1" max="3" width="12.140625" style="253" customWidth="1"/>
    <col min="4" max="4" width="40.7109375" style="200" customWidth="1"/>
    <col min="5" max="8" width="15.7109375" style="200" customWidth="1"/>
    <col min="9" max="15" width="15.7109375" style="201" customWidth="1"/>
    <col min="16" max="16" width="15.7109375" style="200" customWidth="1"/>
    <col min="17" max="16384" width="8.85546875" style="200"/>
  </cols>
  <sheetData>
    <row r="1" spans="1:19" x14ac:dyDescent="0.25">
      <c r="N1" s="192" t="s">
        <v>305</v>
      </c>
      <c r="O1" s="254"/>
      <c r="P1" s="255"/>
    </row>
    <row r="2" spans="1:19" x14ac:dyDescent="0.25">
      <c r="N2" s="192" t="s">
        <v>198</v>
      </c>
      <c r="O2" s="254"/>
      <c r="P2" s="255"/>
    </row>
    <row r="3" spans="1:19" ht="12.75" customHeight="1" x14ac:dyDescent="0.25">
      <c r="N3" s="6" t="s">
        <v>681</v>
      </c>
      <c r="O3" s="256"/>
      <c r="P3" s="255"/>
    </row>
    <row r="4" spans="1:19" x14ac:dyDescent="0.25">
      <c r="N4" s="6" t="s">
        <v>682</v>
      </c>
      <c r="O4" s="254"/>
      <c r="P4" s="255"/>
    </row>
    <row r="5" spans="1:19" x14ac:dyDescent="0.25">
      <c r="N5" s="901" t="s">
        <v>228</v>
      </c>
      <c r="O5" s="901"/>
      <c r="P5" s="255"/>
    </row>
    <row r="7" spans="1:19" x14ac:dyDescent="0.25">
      <c r="K7" s="200"/>
      <c r="L7" s="200"/>
      <c r="M7" s="200"/>
      <c r="N7" s="939" t="s">
        <v>417</v>
      </c>
      <c r="O7" s="939"/>
      <c r="P7" s="939"/>
      <c r="Q7" s="201"/>
    </row>
    <row r="8" spans="1:19" x14ac:dyDescent="0.25">
      <c r="K8" s="200"/>
      <c r="L8" s="200"/>
      <c r="M8" s="200"/>
      <c r="N8" s="940" t="s">
        <v>8</v>
      </c>
      <c r="O8" s="940"/>
      <c r="P8" s="940"/>
      <c r="Q8" s="257"/>
      <c r="R8" s="258"/>
      <c r="S8" s="258"/>
    </row>
    <row r="9" spans="1:19" x14ac:dyDescent="0.25">
      <c r="K9" s="200"/>
      <c r="L9" s="200"/>
      <c r="M9" s="200"/>
      <c r="N9" s="901" t="s">
        <v>9</v>
      </c>
      <c r="O9" s="901"/>
      <c r="P9" s="901"/>
      <c r="Q9" s="257"/>
      <c r="R9" s="258"/>
      <c r="S9" s="258"/>
    </row>
    <row r="10" spans="1:19" x14ac:dyDescent="0.25">
      <c r="K10" s="200"/>
      <c r="L10" s="200"/>
      <c r="M10" s="200"/>
      <c r="N10" s="901" t="s">
        <v>205</v>
      </c>
      <c r="O10" s="901"/>
      <c r="P10" s="901"/>
      <c r="Q10" s="257"/>
      <c r="R10" s="258"/>
      <c r="S10" s="258"/>
    </row>
    <row r="11" spans="1:19" x14ac:dyDescent="0.25">
      <c r="K11" s="200"/>
      <c r="L11" s="200"/>
      <c r="M11" s="200"/>
      <c r="N11" s="938" t="s">
        <v>222</v>
      </c>
      <c r="O11" s="938"/>
      <c r="P11" s="938"/>
      <c r="Q11" s="257"/>
      <c r="R11" s="258"/>
      <c r="S11" s="258"/>
    </row>
    <row r="12" spans="1:19" x14ac:dyDescent="0.25">
      <c r="K12" s="200"/>
      <c r="L12" s="200"/>
      <c r="M12" s="200"/>
      <c r="N12" s="941" t="s">
        <v>418</v>
      </c>
      <c r="O12" s="941"/>
      <c r="P12" s="941"/>
      <c r="Q12" s="257"/>
      <c r="R12" s="258"/>
      <c r="S12" s="258"/>
    </row>
    <row r="13" spans="1:19" x14ac:dyDescent="0.25">
      <c r="K13" s="200"/>
      <c r="L13" s="200"/>
      <c r="M13" s="200"/>
      <c r="N13" s="901" t="s">
        <v>419</v>
      </c>
      <c r="O13" s="901"/>
      <c r="P13" s="901"/>
      <c r="Q13" s="66"/>
      <c r="R13" s="258"/>
      <c r="S13" s="258"/>
    </row>
    <row r="14" spans="1:19" x14ac:dyDescent="0.25">
      <c r="A14" s="942" t="s">
        <v>420</v>
      </c>
      <c r="B14" s="943"/>
      <c r="C14" s="943"/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3"/>
      <c r="Q14" s="258"/>
      <c r="R14" s="258"/>
      <c r="S14" s="258"/>
    </row>
    <row r="15" spans="1:19" x14ac:dyDescent="0.25">
      <c r="A15" s="942" t="s">
        <v>421</v>
      </c>
      <c r="B15" s="943"/>
      <c r="C15" s="943"/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43"/>
    </row>
    <row r="16" spans="1:19" x14ac:dyDescent="0.25">
      <c r="A16" s="259" t="s">
        <v>211</v>
      </c>
    </row>
    <row r="17" spans="1:16" ht="17.45" customHeight="1" thickBot="1" x14ac:dyDescent="0.3">
      <c r="A17" s="253" t="s">
        <v>0</v>
      </c>
      <c r="P17" s="201" t="s">
        <v>10</v>
      </c>
    </row>
    <row r="18" spans="1:16" s="260" customFormat="1" ht="12.75" x14ac:dyDescent="0.2">
      <c r="A18" s="944" t="s">
        <v>11</v>
      </c>
      <c r="B18" s="946" t="s">
        <v>12</v>
      </c>
      <c r="C18" s="946" t="s">
        <v>13</v>
      </c>
      <c r="D18" s="946" t="s">
        <v>14</v>
      </c>
      <c r="E18" s="946" t="s">
        <v>3</v>
      </c>
      <c r="F18" s="946"/>
      <c r="G18" s="946"/>
      <c r="H18" s="946"/>
      <c r="I18" s="946"/>
      <c r="J18" s="946" t="s">
        <v>4</v>
      </c>
      <c r="K18" s="946"/>
      <c r="L18" s="946"/>
      <c r="M18" s="946"/>
      <c r="N18" s="946"/>
      <c r="O18" s="946"/>
      <c r="P18" s="948" t="s">
        <v>422</v>
      </c>
    </row>
    <row r="19" spans="1:16" s="260" customFormat="1" ht="12.75" x14ac:dyDescent="0.2">
      <c r="A19" s="945"/>
      <c r="B19" s="947"/>
      <c r="C19" s="947"/>
      <c r="D19" s="947"/>
      <c r="E19" s="947" t="s">
        <v>5</v>
      </c>
      <c r="F19" s="947" t="s">
        <v>423</v>
      </c>
      <c r="G19" s="947" t="s">
        <v>424</v>
      </c>
      <c r="H19" s="947"/>
      <c r="I19" s="950" t="s">
        <v>425</v>
      </c>
      <c r="J19" s="947" t="s">
        <v>5</v>
      </c>
      <c r="K19" s="947" t="s">
        <v>6</v>
      </c>
      <c r="L19" s="947" t="s">
        <v>423</v>
      </c>
      <c r="M19" s="947" t="s">
        <v>424</v>
      </c>
      <c r="N19" s="947"/>
      <c r="O19" s="947" t="s">
        <v>425</v>
      </c>
      <c r="P19" s="949"/>
    </row>
    <row r="20" spans="1:16" s="260" customFormat="1" ht="12.75" x14ac:dyDescent="0.2">
      <c r="A20" s="945"/>
      <c r="B20" s="947"/>
      <c r="C20" s="947"/>
      <c r="D20" s="947"/>
      <c r="E20" s="947"/>
      <c r="F20" s="947"/>
      <c r="G20" s="947" t="s">
        <v>426</v>
      </c>
      <c r="H20" s="947" t="s">
        <v>427</v>
      </c>
      <c r="I20" s="950"/>
      <c r="J20" s="947"/>
      <c r="K20" s="947"/>
      <c r="L20" s="947"/>
      <c r="M20" s="947" t="s">
        <v>426</v>
      </c>
      <c r="N20" s="947" t="s">
        <v>427</v>
      </c>
      <c r="O20" s="947"/>
      <c r="P20" s="949"/>
    </row>
    <row r="21" spans="1:16" s="260" customFormat="1" ht="55.9" customHeight="1" x14ac:dyDescent="0.2">
      <c r="A21" s="945"/>
      <c r="B21" s="947"/>
      <c r="C21" s="947"/>
      <c r="D21" s="947"/>
      <c r="E21" s="947"/>
      <c r="F21" s="947"/>
      <c r="G21" s="947"/>
      <c r="H21" s="947"/>
      <c r="I21" s="950"/>
      <c r="J21" s="947"/>
      <c r="K21" s="947"/>
      <c r="L21" s="947"/>
      <c r="M21" s="947"/>
      <c r="N21" s="947"/>
      <c r="O21" s="947"/>
      <c r="P21" s="949"/>
    </row>
    <row r="22" spans="1:16" ht="16.5" thickBot="1" x14ac:dyDescent="0.3">
      <c r="A22" s="261">
        <v>1</v>
      </c>
      <c r="B22" s="262">
        <v>2</v>
      </c>
      <c r="C22" s="262">
        <v>3</v>
      </c>
      <c r="D22" s="262">
        <v>4</v>
      </c>
      <c r="E22" s="262">
        <v>5</v>
      </c>
      <c r="F22" s="262">
        <v>6</v>
      </c>
      <c r="G22" s="262">
        <v>7</v>
      </c>
      <c r="H22" s="262">
        <v>8</v>
      </c>
      <c r="I22" s="263">
        <v>9</v>
      </c>
      <c r="J22" s="263">
        <v>10</v>
      </c>
      <c r="K22" s="263">
        <v>11</v>
      </c>
      <c r="L22" s="263">
        <v>12</v>
      </c>
      <c r="M22" s="263">
        <v>13</v>
      </c>
      <c r="N22" s="263">
        <v>14</v>
      </c>
      <c r="O22" s="263">
        <v>15</v>
      </c>
      <c r="P22" s="264">
        <v>16</v>
      </c>
    </row>
    <row r="23" spans="1:16" ht="48" thickBot="1" x14ac:dyDescent="0.3">
      <c r="A23" s="246" t="s">
        <v>15</v>
      </c>
      <c r="B23" s="265" t="s">
        <v>16</v>
      </c>
      <c r="C23" s="265" t="s">
        <v>16</v>
      </c>
      <c r="D23" s="266" t="s">
        <v>17</v>
      </c>
      <c r="E23" s="267">
        <f>E24</f>
        <v>111909776</v>
      </c>
      <c r="F23" s="267">
        <f>F24</f>
        <v>111909776</v>
      </c>
      <c r="G23" s="267">
        <f t="shared" ref="G23:I23" si="0">G24</f>
        <v>19425889</v>
      </c>
      <c r="H23" s="267">
        <f t="shared" si="0"/>
        <v>2041034</v>
      </c>
      <c r="I23" s="268">
        <f t="shared" si="0"/>
        <v>0</v>
      </c>
      <c r="J23" s="269">
        <f>J24</f>
        <v>26422950</v>
      </c>
      <c r="K23" s="268">
        <f>K24</f>
        <v>26329446</v>
      </c>
      <c r="L23" s="268">
        <f t="shared" ref="L23:O23" si="1">L24</f>
        <v>0</v>
      </c>
      <c r="M23" s="268">
        <f t="shared" si="1"/>
        <v>0</v>
      </c>
      <c r="N23" s="268">
        <f t="shared" si="1"/>
        <v>0</v>
      </c>
      <c r="O23" s="268">
        <f t="shared" si="1"/>
        <v>26422950</v>
      </c>
      <c r="P23" s="270">
        <f>E23+J23</f>
        <v>138332726</v>
      </c>
    </row>
    <row r="24" spans="1:16" ht="47.25" x14ac:dyDescent="0.25">
      <c r="A24" s="271" t="s">
        <v>18</v>
      </c>
      <c r="B24" s="272" t="s">
        <v>16</v>
      </c>
      <c r="C24" s="272" t="s">
        <v>16</v>
      </c>
      <c r="D24" s="273" t="s">
        <v>17</v>
      </c>
      <c r="E24" s="274">
        <f>E25+E26+E27+E28+E31+E33+E34+E35+E37+E38+E39</f>
        <v>111909776</v>
      </c>
      <c r="F24" s="274">
        <f>F25+F26+F27+F28+F31+F33+F34+F35+F37+F38+F39</f>
        <v>111909776</v>
      </c>
      <c r="G24" s="274">
        <f>G25+G26+G27+G28+G31+G34+G35+G37</f>
        <v>19425889</v>
      </c>
      <c r="H24" s="274">
        <f>H25+H26+H27+H28+H31+H34+H35+H37</f>
        <v>2041034</v>
      </c>
      <c r="I24" s="275">
        <f>I25+I26+I27+I28+I31+I34+I35+I37</f>
        <v>0</v>
      </c>
      <c r="J24" s="275">
        <f>L24+O24</f>
        <v>26422950</v>
      </c>
      <c r="K24" s="275">
        <f>K25+K26+K27++K28+K29+K31+K34+K35+K36+K37+K38+K30</f>
        <v>26329446</v>
      </c>
      <c r="L24" s="275">
        <f>L25+L26+L27++L28+L31+L34+L35+L37</f>
        <v>0</v>
      </c>
      <c r="M24" s="275">
        <f>M25+M26+M27++M28+M31+M34+M35+M37</f>
        <v>0</v>
      </c>
      <c r="N24" s="275">
        <f>N25+N26+N27++N28+N31+N34+N35+N37</f>
        <v>0</v>
      </c>
      <c r="O24" s="275">
        <f>O25+O26+O27++O28+O29+O31+O34+O35+O36+O37+O38+O30+O32</f>
        <v>26422950</v>
      </c>
      <c r="P24" s="276">
        <f>E24+J24</f>
        <v>138332726</v>
      </c>
    </row>
    <row r="25" spans="1:16" ht="94.5" x14ac:dyDescent="0.25">
      <c r="A25" s="202" t="s">
        <v>214</v>
      </c>
      <c r="B25" s="182" t="s">
        <v>215</v>
      </c>
      <c r="C25" s="182" t="s">
        <v>19</v>
      </c>
      <c r="D25" s="52" t="s">
        <v>216</v>
      </c>
      <c r="E25" s="277">
        <f>F25+I25</f>
        <v>26727743</v>
      </c>
      <c r="F25" s="277">
        <f>24718920+196176+1259944+105900+520000-73197</f>
        <v>26727743</v>
      </c>
      <c r="G25" s="277">
        <f>16173230+3558110-245451-50000-10000</f>
        <v>19425889</v>
      </c>
      <c r="H25" s="277">
        <f>2232228-24203-70434-96557</f>
        <v>2041034</v>
      </c>
      <c r="I25" s="53">
        <v>0</v>
      </c>
      <c r="J25" s="53">
        <f t="shared" ref="J25:J30" si="2">L25+O25</f>
        <v>2095737</v>
      </c>
      <c r="K25" s="53">
        <f t="shared" ref="K25:K30" si="3">O25</f>
        <v>2095737</v>
      </c>
      <c r="L25" s="53">
        <v>0</v>
      </c>
      <c r="M25" s="53">
        <v>0</v>
      </c>
      <c r="N25" s="53">
        <v>0</v>
      </c>
      <c r="O25" s="53">
        <f>160990+1934747</f>
        <v>2095737</v>
      </c>
      <c r="P25" s="278">
        <f t="shared" ref="P25:P59" si="4">E25+J25</f>
        <v>28823480</v>
      </c>
    </row>
    <row r="26" spans="1:16" ht="31.5" x14ac:dyDescent="0.25">
      <c r="A26" s="202" t="s">
        <v>20</v>
      </c>
      <c r="B26" s="182" t="s">
        <v>21</v>
      </c>
      <c r="C26" s="182" t="s">
        <v>22</v>
      </c>
      <c r="D26" s="52" t="s">
        <v>23</v>
      </c>
      <c r="E26" s="277">
        <f t="shared" ref="E26:E38" si="5">F26+I26</f>
        <v>22993934</v>
      </c>
      <c r="F26" s="277">
        <f>24221364-751000-476430</f>
        <v>22993934</v>
      </c>
      <c r="G26" s="277">
        <v>0</v>
      </c>
      <c r="H26" s="277">
        <v>0</v>
      </c>
      <c r="I26" s="53">
        <v>0</v>
      </c>
      <c r="J26" s="53">
        <f t="shared" si="2"/>
        <v>14117230</v>
      </c>
      <c r="K26" s="53">
        <f t="shared" si="3"/>
        <v>14117230</v>
      </c>
      <c r="L26" s="53">
        <v>0</v>
      </c>
      <c r="M26" s="53">
        <v>0</v>
      </c>
      <c r="N26" s="53">
        <v>0</v>
      </c>
      <c r="O26" s="53">
        <f>7440800+6200000+476430</f>
        <v>14117230</v>
      </c>
      <c r="P26" s="278">
        <f>E26+J26</f>
        <v>37111164</v>
      </c>
    </row>
    <row r="27" spans="1:16" ht="63" x14ac:dyDescent="0.25">
      <c r="A27" s="202" t="s">
        <v>24</v>
      </c>
      <c r="B27" s="182" t="s">
        <v>25</v>
      </c>
      <c r="C27" s="182" t="s">
        <v>26</v>
      </c>
      <c r="D27" s="52" t="s">
        <v>27</v>
      </c>
      <c r="E27" s="277">
        <f t="shared" si="5"/>
        <v>2548804</v>
      </c>
      <c r="F27" s="277">
        <f>1950549+598255</f>
        <v>2548804</v>
      </c>
      <c r="G27" s="277">
        <v>0</v>
      </c>
      <c r="H27" s="277">
        <v>0</v>
      </c>
      <c r="I27" s="53">
        <v>0</v>
      </c>
      <c r="J27" s="53">
        <f t="shared" si="2"/>
        <v>304000</v>
      </c>
      <c r="K27" s="53">
        <f t="shared" si="3"/>
        <v>304000</v>
      </c>
      <c r="L27" s="53">
        <v>0</v>
      </c>
      <c r="M27" s="53">
        <v>0</v>
      </c>
      <c r="N27" s="53">
        <v>0</v>
      </c>
      <c r="O27" s="53">
        <v>304000</v>
      </c>
      <c r="P27" s="278">
        <f>E27+J27</f>
        <v>2852804</v>
      </c>
    </row>
    <row r="28" spans="1:16" ht="31.5" x14ac:dyDescent="0.25">
      <c r="A28" s="202" t="s">
        <v>31</v>
      </c>
      <c r="B28" s="182" t="s">
        <v>32</v>
      </c>
      <c r="C28" s="182" t="s">
        <v>33</v>
      </c>
      <c r="D28" s="52" t="s">
        <v>34</v>
      </c>
      <c r="E28" s="277">
        <f t="shared" si="5"/>
        <v>458149</v>
      </c>
      <c r="F28" s="277">
        <f>235745+222404</f>
        <v>458149</v>
      </c>
      <c r="G28" s="277">
        <v>0</v>
      </c>
      <c r="H28" s="277">
        <v>0</v>
      </c>
      <c r="I28" s="53">
        <v>0</v>
      </c>
      <c r="J28" s="53">
        <f t="shared" si="2"/>
        <v>517000</v>
      </c>
      <c r="K28" s="53">
        <f t="shared" si="3"/>
        <v>517000</v>
      </c>
      <c r="L28" s="53">
        <v>0</v>
      </c>
      <c r="M28" s="53">
        <v>0</v>
      </c>
      <c r="N28" s="53">
        <v>0</v>
      </c>
      <c r="O28" s="53">
        <v>517000</v>
      </c>
      <c r="P28" s="278">
        <f t="shared" si="4"/>
        <v>975149</v>
      </c>
    </row>
    <row r="29" spans="1:16" ht="47.25" x14ac:dyDescent="0.25">
      <c r="A29" s="279" t="s">
        <v>428</v>
      </c>
      <c r="B29" s="132" t="s">
        <v>429</v>
      </c>
      <c r="C29" s="132" t="s">
        <v>217</v>
      </c>
      <c r="D29" s="133" t="s">
        <v>430</v>
      </c>
      <c r="E29" s="277">
        <f t="shared" si="5"/>
        <v>0</v>
      </c>
      <c r="F29" s="277">
        <v>0</v>
      </c>
      <c r="G29" s="277">
        <v>0</v>
      </c>
      <c r="H29" s="53">
        <v>0</v>
      </c>
      <c r="I29" s="53">
        <v>0</v>
      </c>
      <c r="J29" s="53">
        <f t="shared" si="2"/>
        <v>55057</v>
      </c>
      <c r="K29" s="53">
        <f t="shared" si="3"/>
        <v>55057</v>
      </c>
      <c r="L29" s="53">
        <v>0</v>
      </c>
      <c r="M29" s="53">
        <v>0</v>
      </c>
      <c r="N29" s="53" t="s">
        <v>627</v>
      </c>
      <c r="O29" s="53">
        <f>51172+3885</f>
        <v>55057</v>
      </c>
      <c r="P29" s="278">
        <f t="shared" si="4"/>
        <v>55057</v>
      </c>
    </row>
    <row r="30" spans="1:16" ht="78.75" x14ac:dyDescent="0.25">
      <c r="A30" s="151" t="s">
        <v>626</v>
      </c>
      <c r="B30" s="262">
        <v>7660</v>
      </c>
      <c r="C30" s="262">
        <v>490</v>
      </c>
      <c r="D30" s="94" t="s">
        <v>503</v>
      </c>
      <c r="E30" s="284">
        <v>0</v>
      </c>
      <c r="F30" s="115">
        <v>0</v>
      </c>
      <c r="G30" s="115">
        <f>H30+L30</f>
        <v>0</v>
      </c>
      <c r="H30" s="284">
        <v>0</v>
      </c>
      <c r="I30" s="115">
        <v>0</v>
      </c>
      <c r="J30" s="53">
        <f t="shared" si="2"/>
        <v>3880</v>
      </c>
      <c r="K30" s="115">
        <f t="shared" si="3"/>
        <v>3880</v>
      </c>
      <c r="L30" s="115">
        <v>0</v>
      </c>
      <c r="M30" s="115">
        <v>0</v>
      </c>
      <c r="N30" s="115">
        <v>0</v>
      </c>
      <c r="O30" s="115">
        <v>3880</v>
      </c>
      <c r="P30" s="296">
        <f t="shared" si="4"/>
        <v>3880</v>
      </c>
    </row>
    <row r="31" spans="1:16" ht="31.5" x14ac:dyDescent="0.25">
      <c r="A31" s="202" t="s">
        <v>431</v>
      </c>
      <c r="B31" s="182" t="s">
        <v>432</v>
      </c>
      <c r="C31" s="182" t="s">
        <v>217</v>
      </c>
      <c r="D31" s="52" t="s">
        <v>433</v>
      </c>
      <c r="E31" s="277">
        <f t="shared" si="5"/>
        <v>35276</v>
      </c>
      <c r="F31" s="277">
        <v>35276</v>
      </c>
      <c r="G31" s="277">
        <v>0</v>
      </c>
      <c r="H31" s="277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278">
        <f t="shared" si="4"/>
        <v>35276</v>
      </c>
    </row>
    <row r="32" spans="1:16" ht="141.75" x14ac:dyDescent="0.25">
      <c r="A32" s="279" t="s">
        <v>260</v>
      </c>
      <c r="B32" s="132" t="s">
        <v>261</v>
      </c>
      <c r="C32" s="132" t="s">
        <v>217</v>
      </c>
      <c r="D32" s="133" t="s">
        <v>262</v>
      </c>
      <c r="E32" s="277">
        <v>0</v>
      </c>
      <c r="F32" s="277">
        <v>0</v>
      </c>
      <c r="G32" s="53">
        <v>0</v>
      </c>
      <c r="H32" s="277">
        <v>0</v>
      </c>
      <c r="I32" s="53">
        <v>0</v>
      </c>
      <c r="J32" s="53">
        <f>L32+O32</f>
        <v>93504</v>
      </c>
      <c r="K32" s="53">
        <v>0</v>
      </c>
      <c r="L32" s="53">
        <v>0</v>
      </c>
      <c r="M32" s="53">
        <v>0</v>
      </c>
      <c r="N32" s="53">
        <v>0</v>
      </c>
      <c r="O32" s="53">
        <v>93504</v>
      </c>
      <c r="P32" s="278">
        <f t="shared" si="4"/>
        <v>93504</v>
      </c>
    </row>
    <row r="33" spans="1:16" ht="54.6" customHeight="1" x14ac:dyDescent="0.25">
      <c r="A33" s="280" t="s">
        <v>231</v>
      </c>
      <c r="B33" s="281">
        <v>8110</v>
      </c>
      <c r="C33" s="150" t="s">
        <v>232</v>
      </c>
      <c r="D33" s="282" t="s">
        <v>233</v>
      </c>
      <c r="E33" s="277">
        <f t="shared" si="5"/>
        <v>1744195</v>
      </c>
      <c r="F33" s="277">
        <f>7200+71945+1665050</f>
        <v>1744195</v>
      </c>
      <c r="G33" s="53">
        <v>0</v>
      </c>
      <c r="H33" s="277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278">
        <f t="shared" si="4"/>
        <v>1744195</v>
      </c>
    </row>
    <row r="34" spans="1:16" ht="31.5" x14ac:dyDescent="0.25">
      <c r="A34" s="202" t="s">
        <v>35</v>
      </c>
      <c r="B34" s="182" t="s">
        <v>36</v>
      </c>
      <c r="C34" s="182" t="s">
        <v>37</v>
      </c>
      <c r="D34" s="52" t="s">
        <v>38</v>
      </c>
      <c r="E34" s="277">
        <f t="shared" si="5"/>
        <v>12000</v>
      </c>
      <c r="F34" s="277">
        <f>99500-87500</f>
        <v>12000</v>
      </c>
      <c r="G34" s="277">
        <v>0</v>
      </c>
      <c r="H34" s="277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278">
        <f t="shared" si="4"/>
        <v>12000</v>
      </c>
    </row>
    <row r="35" spans="1:16" ht="36.75" customHeight="1" x14ac:dyDescent="0.25">
      <c r="A35" s="202" t="s">
        <v>173</v>
      </c>
      <c r="B35" s="182" t="s">
        <v>434</v>
      </c>
      <c r="C35" s="182" t="s">
        <v>37</v>
      </c>
      <c r="D35" s="52" t="s">
        <v>174</v>
      </c>
      <c r="E35" s="277">
        <f t="shared" si="5"/>
        <v>17315214</v>
      </c>
      <c r="F35" s="277">
        <v>17315214</v>
      </c>
      <c r="G35" s="277">
        <v>0</v>
      </c>
      <c r="H35" s="277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278">
        <f t="shared" si="4"/>
        <v>17315214</v>
      </c>
    </row>
    <row r="36" spans="1:16" ht="51" customHeight="1" x14ac:dyDescent="0.25">
      <c r="A36" s="151" t="s">
        <v>239</v>
      </c>
      <c r="B36" s="138" t="s">
        <v>240</v>
      </c>
      <c r="C36" s="138" t="s">
        <v>37</v>
      </c>
      <c r="D36" s="283" t="s">
        <v>435</v>
      </c>
      <c r="E36" s="277">
        <f t="shared" si="5"/>
        <v>0</v>
      </c>
      <c r="F36" s="277">
        <v>0</v>
      </c>
      <c r="G36" s="277">
        <v>0</v>
      </c>
      <c r="H36" s="277">
        <v>0</v>
      </c>
      <c r="I36" s="277">
        <v>0</v>
      </c>
      <c r="J36" s="53">
        <f>L36+O36</f>
        <v>755000</v>
      </c>
      <c r="K36" s="53">
        <f>O36</f>
        <v>755000</v>
      </c>
      <c r="L36" s="53">
        <v>0</v>
      </c>
      <c r="M36" s="53">
        <v>0</v>
      </c>
      <c r="N36" s="53">
        <v>0</v>
      </c>
      <c r="O36" s="53">
        <v>755000</v>
      </c>
      <c r="P36" s="278">
        <f>E36+J36</f>
        <v>755000</v>
      </c>
    </row>
    <row r="37" spans="1:16" ht="31.5" x14ac:dyDescent="0.25">
      <c r="A37" s="261" t="s">
        <v>39</v>
      </c>
      <c r="B37" s="262" t="s">
        <v>40</v>
      </c>
      <c r="C37" s="262" t="s">
        <v>41</v>
      </c>
      <c r="D37" s="94" t="s">
        <v>42</v>
      </c>
      <c r="E37" s="284">
        <f t="shared" si="5"/>
        <v>3048561</v>
      </c>
      <c r="F37" s="284">
        <f>3002306+46255</f>
        <v>3048561</v>
      </c>
      <c r="G37" s="284">
        <v>0</v>
      </c>
      <c r="H37" s="284">
        <v>0</v>
      </c>
      <c r="I37" s="115">
        <v>0</v>
      </c>
      <c r="J37" s="115">
        <f>O37</f>
        <v>26942</v>
      </c>
      <c r="K37" s="115">
        <f>O37</f>
        <v>26942</v>
      </c>
      <c r="L37" s="115">
        <v>0</v>
      </c>
      <c r="M37" s="115">
        <v>0</v>
      </c>
      <c r="N37" s="115">
        <v>0</v>
      </c>
      <c r="O37" s="115">
        <v>26942</v>
      </c>
      <c r="P37" s="278">
        <f t="shared" si="4"/>
        <v>3075503</v>
      </c>
    </row>
    <row r="38" spans="1:16" ht="63" x14ac:dyDescent="0.25">
      <c r="A38" s="151" t="s">
        <v>234</v>
      </c>
      <c r="B38" s="262">
        <v>9800</v>
      </c>
      <c r="C38" s="138" t="s">
        <v>221</v>
      </c>
      <c r="D38" s="149" t="s">
        <v>235</v>
      </c>
      <c r="E38" s="277">
        <f t="shared" si="5"/>
        <v>10525900</v>
      </c>
      <c r="F38" s="277">
        <f>1000000+8400000-6950000+2000000+225900+1000000+1050000+3000000+800000</f>
        <v>10525900</v>
      </c>
      <c r="G38" s="277">
        <v>0</v>
      </c>
      <c r="H38" s="277">
        <v>0</v>
      </c>
      <c r="I38" s="53">
        <v>0</v>
      </c>
      <c r="J38" s="53">
        <f>L38+O38</f>
        <v>8454600</v>
      </c>
      <c r="K38" s="53">
        <f>O38</f>
        <v>8454600</v>
      </c>
      <c r="L38" s="53">
        <v>0</v>
      </c>
      <c r="M38" s="53">
        <v>0</v>
      </c>
      <c r="N38" s="53">
        <v>0</v>
      </c>
      <c r="O38" s="53">
        <f>900000+6950000+89600+515000</f>
        <v>8454600</v>
      </c>
      <c r="P38" s="278">
        <f>E38+J38</f>
        <v>18980500</v>
      </c>
    </row>
    <row r="39" spans="1:16" ht="30" customHeight="1" thickBot="1" x14ac:dyDescent="0.3">
      <c r="A39" s="151" t="s">
        <v>297</v>
      </c>
      <c r="B39" s="132">
        <v>9770</v>
      </c>
      <c r="C39" s="132" t="s">
        <v>221</v>
      </c>
      <c r="D39" s="133" t="s">
        <v>237</v>
      </c>
      <c r="E39" s="285">
        <f>F39</f>
        <v>26500000</v>
      </c>
      <c r="F39" s="285">
        <v>26500000</v>
      </c>
      <c r="G39" s="285"/>
      <c r="H39" s="285"/>
      <c r="I39" s="244"/>
      <c r="J39" s="244"/>
      <c r="K39" s="244"/>
      <c r="L39" s="244"/>
      <c r="M39" s="244"/>
      <c r="N39" s="244"/>
      <c r="O39" s="244"/>
      <c r="P39" s="278">
        <f>E39+J39</f>
        <v>26500000</v>
      </c>
    </row>
    <row r="40" spans="1:16" ht="48" thickBot="1" x14ac:dyDescent="0.3">
      <c r="A40" s="246">
        <v>600000</v>
      </c>
      <c r="B40" s="265" t="s">
        <v>16</v>
      </c>
      <c r="C40" s="265" t="s">
        <v>16</v>
      </c>
      <c r="D40" s="266" t="s">
        <v>44</v>
      </c>
      <c r="E40" s="269">
        <f>E41</f>
        <v>213655233</v>
      </c>
      <c r="F40" s="269">
        <f>F41</f>
        <v>213655233</v>
      </c>
      <c r="G40" s="269">
        <f>G41</f>
        <v>163544373</v>
      </c>
      <c r="H40" s="269">
        <f t="shared" ref="H40:I40" si="6">H41</f>
        <v>23554444</v>
      </c>
      <c r="I40" s="269">
        <f t="shared" si="6"/>
        <v>0</v>
      </c>
      <c r="J40" s="269">
        <f>J41</f>
        <v>12564413</v>
      </c>
      <c r="K40" s="269">
        <f>K41</f>
        <v>443675</v>
      </c>
      <c r="L40" s="269">
        <f t="shared" ref="L40:O40" si="7">L41</f>
        <v>12120738</v>
      </c>
      <c r="M40" s="269">
        <f>M41</f>
        <v>3573904</v>
      </c>
      <c r="N40" s="269">
        <f t="shared" si="7"/>
        <v>84765</v>
      </c>
      <c r="O40" s="269">
        <f t="shared" si="7"/>
        <v>443675</v>
      </c>
      <c r="P40" s="286">
        <f>E40+J40</f>
        <v>226219646</v>
      </c>
    </row>
    <row r="41" spans="1:16" s="289" customFormat="1" ht="47.25" x14ac:dyDescent="0.25">
      <c r="A41" s="271" t="s">
        <v>45</v>
      </c>
      <c r="B41" s="272" t="s">
        <v>16</v>
      </c>
      <c r="C41" s="272" t="s">
        <v>16</v>
      </c>
      <c r="D41" s="273" t="s">
        <v>44</v>
      </c>
      <c r="E41" s="287">
        <f>E42+E43+E44+E45+E46+E47+E48+E49+E50+E51+E52+E53+E57+E54+E55+E56+E58</f>
        <v>213655233</v>
      </c>
      <c r="F41" s="287">
        <f>F42+F43+F44+F45+F46+F47+F48+F49+F50+F51+F52+F53+F57+F54+F55+F56+F58</f>
        <v>213655233</v>
      </c>
      <c r="G41" s="287">
        <f>G42+G43+G44+G45+G46+G47+G48+G49+G50+G51+G52+G53+G57</f>
        <v>163544373</v>
      </c>
      <c r="H41" s="287">
        <f t="shared" ref="H41:I41" si="8">H42+H43+H44+H45+H46+H47+H48+H49+H50+H51+H57</f>
        <v>23554444</v>
      </c>
      <c r="I41" s="287">
        <f t="shared" si="8"/>
        <v>0</v>
      </c>
      <c r="J41" s="287">
        <f>J42+J43+J44+J45+J46+J47+J48+J49+J50+J51+J52+J53+J57+J54+J55+J56+J58+J59</f>
        <v>12564413</v>
      </c>
      <c r="K41" s="275">
        <f>K42+K43+K44++K45+K46+K47+K50+K51+K52+K53+K57+K58</f>
        <v>443675</v>
      </c>
      <c r="L41" s="287">
        <f>L42+L43+L44+L45+L46+L47+L48+L49+L50+L51+L57+L56+L58+L59</f>
        <v>12120738</v>
      </c>
      <c r="M41" s="287">
        <f>M42+M43+M44+M45+M46+M47+M48+M49+M50+M51+M57+M56+M58+M59</f>
        <v>3573904</v>
      </c>
      <c r="N41" s="287">
        <f>N42+N43+N44+N45+N46+N47+N48+N49+N50+N51+N57+N56+N58+N59</f>
        <v>84765</v>
      </c>
      <c r="O41" s="287">
        <f>O42+O43+O44+O45+O46+O47+O48+O49+O50+O51+O57+O56+O58+O59</f>
        <v>443675</v>
      </c>
      <c r="P41" s="288">
        <f>E41+J41</f>
        <v>226219646</v>
      </c>
    </row>
    <row r="42" spans="1:16" ht="47.25" x14ac:dyDescent="0.25">
      <c r="A42" s="202" t="s">
        <v>436</v>
      </c>
      <c r="B42" s="182" t="s">
        <v>437</v>
      </c>
      <c r="C42" s="182" t="s">
        <v>19</v>
      </c>
      <c r="D42" s="52" t="s">
        <v>438</v>
      </c>
      <c r="E42" s="277">
        <f>F42+I42</f>
        <v>3417510</v>
      </c>
      <c r="F42" s="277">
        <v>3417510</v>
      </c>
      <c r="G42" s="277">
        <f>2333138+483884</f>
        <v>2817022</v>
      </c>
      <c r="H42" s="277">
        <v>223066</v>
      </c>
      <c r="I42" s="53">
        <v>0</v>
      </c>
      <c r="J42" s="53">
        <f>L42+O42</f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278">
        <f t="shared" si="4"/>
        <v>3417510</v>
      </c>
    </row>
    <row r="43" spans="1:16" x14ac:dyDescent="0.25">
      <c r="A43" s="202" t="s">
        <v>46</v>
      </c>
      <c r="B43" s="182" t="s">
        <v>47</v>
      </c>
      <c r="C43" s="182" t="s">
        <v>48</v>
      </c>
      <c r="D43" s="52" t="s">
        <v>49</v>
      </c>
      <c r="E43" s="277">
        <f t="shared" ref="E43:E57" si="9">F43+I43</f>
        <v>67968534</v>
      </c>
      <c r="F43" s="277">
        <f>69926352-74400+10709-1698437-119850+94665-94665-75840</f>
        <v>67968534</v>
      </c>
      <c r="G43" s="277">
        <f>44040350+9688876-1798948-307769-515705-113454-191460-75840</f>
        <v>50726050</v>
      </c>
      <c r="H43" s="277">
        <v>7902843</v>
      </c>
      <c r="I43" s="53">
        <v>0</v>
      </c>
      <c r="J43" s="53">
        <f>L43+O43</f>
        <v>2115659</v>
      </c>
      <c r="K43" s="53">
        <v>0</v>
      </c>
      <c r="L43" s="53">
        <v>2115659</v>
      </c>
      <c r="M43" s="53">
        <v>0</v>
      </c>
      <c r="N43" s="53">
        <v>0</v>
      </c>
      <c r="O43" s="53">
        <v>0</v>
      </c>
      <c r="P43" s="278">
        <f t="shared" si="4"/>
        <v>70084193</v>
      </c>
    </row>
    <row r="44" spans="1:16" ht="51.6" customHeight="1" x14ac:dyDescent="0.25">
      <c r="A44" s="202" t="s">
        <v>50</v>
      </c>
      <c r="B44" s="182" t="s">
        <v>51</v>
      </c>
      <c r="C44" s="182" t="s">
        <v>52</v>
      </c>
      <c r="D44" s="52" t="s">
        <v>230</v>
      </c>
      <c r="E44" s="277">
        <f>F44+I44</f>
        <v>66355447</v>
      </c>
      <c r="F44" s="277">
        <f>58033165+108930+1434318+2980000-52080+1314500+2416764+119850+185710-185710+470630-350000-120630</f>
        <v>66355447</v>
      </c>
      <c r="G44" s="277">
        <f>29635875+6519891-96012-21122-82781-18212</f>
        <v>35937639</v>
      </c>
      <c r="H44" s="277">
        <f>15288340-52080-213446-50591-350000-120630</f>
        <v>14501593</v>
      </c>
      <c r="I44" s="53">
        <v>0</v>
      </c>
      <c r="J44" s="53">
        <f>L44+O44</f>
        <v>10209789</v>
      </c>
      <c r="K44" s="53">
        <f>O44</f>
        <v>395825</v>
      </c>
      <c r="L44" s="53">
        <v>9813964</v>
      </c>
      <c r="M44" s="53">
        <f>2929428+644476</f>
        <v>3573904</v>
      </c>
      <c r="N44" s="53">
        <v>84765</v>
      </c>
      <c r="O44" s="53">
        <f>168195+52080+175550</f>
        <v>395825</v>
      </c>
      <c r="P44" s="278">
        <f>E44+J44</f>
        <v>76565236</v>
      </c>
    </row>
    <row r="45" spans="1:16" ht="47.25" x14ac:dyDescent="0.25">
      <c r="A45" s="202" t="s">
        <v>439</v>
      </c>
      <c r="B45" s="182" t="s">
        <v>440</v>
      </c>
      <c r="C45" s="182" t="s">
        <v>52</v>
      </c>
      <c r="D45" s="52" t="s">
        <v>441</v>
      </c>
      <c r="E45" s="277">
        <f t="shared" si="9"/>
        <v>63608200</v>
      </c>
      <c r="F45" s="53">
        <v>63608200</v>
      </c>
      <c r="G45" s="53">
        <v>63608200</v>
      </c>
      <c r="H45" s="53">
        <v>0</v>
      </c>
      <c r="I45" s="53">
        <v>0</v>
      </c>
      <c r="J45" s="53">
        <f>L45+O45</f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278">
        <f t="shared" si="4"/>
        <v>63608200</v>
      </c>
    </row>
    <row r="46" spans="1:16" ht="47.25" x14ac:dyDescent="0.25">
      <c r="A46" s="202" t="s">
        <v>53</v>
      </c>
      <c r="B46" s="182" t="s">
        <v>54</v>
      </c>
      <c r="C46" s="182" t="s">
        <v>55</v>
      </c>
      <c r="D46" s="52" t="s">
        <v>56</v>
      </c>
      <c r="E46" s="277">
        <f t="shared" si="9"/>
        <v>4400703</v>
      </c>
      <c r="F46" s="277">
        <f>4395123+5580</f>
        <v>4400703</v>
      </c>
      <c r="G46" s="277">
        <f>3189707+701735</f>
        <v>3891442</v>
      </c>
      <c r="H46" s="277">
        <v>307415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278">
        <f t="shared" si="4"/>
        <v>4400703</v>
      </c>
    </row>
    <row r="47" spans="1:16" ht="31.5" x14ac:dyDescent="0.25">
      <c r="A47" s="202" t="s">
        <v>442</v>
      </c>
      <c r="B47" s="182" t="s">
        <v>443</v>
      </c>
      <c r="C47" s="182" t="s">
        <v>57</v>
      </c>
      <c r="D47" s="52" t="s">
        <v>444</v>
      </c>
      <c r="E47" s="277">
        <f t="shared" si="9"/>
        <v>3575746</v>
      </c>
      <c r="F47" s="277">
        <v>3575746</v>
      </c>
      <c r="G47" s="277">
        <f>2657811+584719</f>
        <v>3242530</v>
      </c>
      <c r="H47" s="277">
        <v>120017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278">
        <f t="shared" si="4"/>
        <v>3575746</v>
      </c>
    </row>
    <row r="48" spans="1:16" ht="39.6" customHeight="1" x14ac:dyDescent="0.25">
      <c r="A48" s="202" t="s">
        <v>58</v>
      </c>
      <c r="B48" s="182" t="s">
        <v>59</v>
      </c>
      <c r="C48" s="182" t="s">
        <v>57</v>
      </c>
      <c r="D48" s="52" t="s">
        <v>60</v>
      </c>
      <c r="E48" s="277">
        <f t="shared" si="9"/>
        <v>18100</v>
      </c>
      <c r="F48" s="277">
        <v>18100</v>
      </c>
      <c r="G48" s="277">
        <v>0</v>
      </c>
      <c r="H48" s="277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278">
        <f t="shared" si="4"/>
        <v>18100</v>
      </c>
    </row>
    <row r="49" spans="1:16" ht="47.25" x14ac:dyDescent="0.25">
      <c r="A49" s="202" t="s">
        <v>61</v>
      </c>
      <c r="B49" s="182" t="s">
        <v>62</v>
      </c>
      <c r="C49" s="182" t="s">
        <v>57</v>
      </c>
      <c r="D49" s="52" t="s">
        <v>63</v>
      </c>
      <c r="E49" s="277">
        <f t="shared" si="9"/>
        <v>655125</v>
      </c>
      <c r="F49" s="277">
        <f>654032+1093</f>
        <v>655125</v>
      </c>
      <c r="G49" s="277">
        <f>124437+27376</f>
        <v>151813</v>
      </c>
      <c r="H49" s="277">
        <v>467487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278">
        <f t="shared" si="4"/>
        <v>655125</v>
      </c>
    </row>
    <row r="50" spans="1:16" ht="47.25" x14ac:dyDescent="0.25">
      <c r="A50" s="202" t="s">
        <v>445</v>
      </c>
      <c r="B50" s="182" t="s">
        <v>446</v>
      </c>
      <c r="C50" s="182" t="s">
        <v>57</v>
      </c>
      <c r="D50" s="52" t="s">
        <v>447</v>
      </c>
      <c r="E50" s="277">
        <f t="shared" si="9"/>
        <v>1460340</v>
      </c>
      <c r="F50" s="53">
        <f>715470+744870</f>
        <v>1460340</v>
      </c>
      <c r="G50" s="53">
        <f>715470+744870</f>
        <v>1460340</v>
      </c>
      <c r="H50" s="53">
        <v>0</v>
      </c>
      <c r="I50" s="53">
        <v>0</v>
      </c>
      <c r="J50" s="53">
        <f>L50+O50</f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278">
        <f t="shared" si="4"/>
        <v>1460340</v>
      </c>
    </row>
    <row r="51" spans="1:16" ht="52.9" customHeight="1" x14ac:dyDescent="0.25">
      <c r="A51" s="202" t="s">
        <v>64</v>
      </c>
      <c r="B51" s="182" t="s">
        <v>65</v>
      </c>
      <c r="C51" s="182" t="s">
        <v>57</v>
      </c>
      <c r="D51" s="52" t="s">
        <v>66</v>
      </c>
      <c r="E51" s="277">
        <f t="shared" si="9"/>
        <v>1287927</v>
      </c>
      <c r="F51" s="277">
        <v>1287927</v>
      </c>
      <c r="G51" s="277">
        <f>999860+219969</f>
        <v>1219829</v>
      </c>
      <c r="H51" s="277">
        <v>30581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278">
        <f t="shared" si="4"/>
        <v>1287927</v>
      </c>
    </row>
    <row r="52" spans="1:16" ht="141.75" x14ac:dyDescent="0.25">
      <c r="A52" s="290" t="s">
        <v>448</v>
      </c>
      <c r="B52" s="291" t="s">
        <v>449</v>
      </c>
      <c r="C52" s="291" t="s">
        <v>57</v>
      </c>
      <c r="D52" s="130" t="s">
        <v>450</v>
      </c>
      <c r="E52" s="277">
        <f t="shared" si="9"/>
        <v>164472</v>
      </c>
      <c r="F52" s="284">
        <f>85974+78498</f>
        <v>164472</v>
      </c>
      <c r="G52" s="284">
        <f>85974+78498</f>
        <v>164472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278">
        <f t="shared" si="4"/>
        <v>164472</v>
      </c>
    </row>
    <row r="53" spans="1:16" ht="141.75" x14ac:dyDescent="0.25">
      <c r="A53" s="292" t="s">
        <v>448</v>
      </c>
      <c r="B53" s="50" t="s">
        <v>449</v>
      </c>
      <c r="C53" s="50" t="s">
        <v>57</v>
      </c>
      <c r="D53" s="131" t="s">
        <v>451</v>
      </c>
      <c r="E53" s="277">
        <f t="shared" si="9"/>
        <v>272874</v>
      </c>
      <c r="F53" s="284">
        <f>138306+134568</f>
        <v>272874</v>
      </c>
      <c r="G53" s="284">
        <f>138306+134568</f>
        <v>272874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278">
        <f t="shared" si="4"/>
        <v>272874</v>
      </c>
    </row>
    <row r="54" spans="1:16" ht="100.15" customHeight="1" x14ac:dyDescent="0.25">
      <c r="A54" s="293" t="s">
        <v>452</v>
      </c>
      <c r="B54" s="294" t="s">
        <v>453</v>
      </c>
      <c r="C54" s="294" t="s">
        <v>57</v>
      </c>
      <c r="D54" s="295" t="s">
        <v>454</v>
      </c>
      <c r="E54" s="284">
        <f>F54</f>
        <v>37033</v>
      </c>
      <c r="F54" s="284">
        <v>37033</v>
      </c>
      <c r="G54" s="284"/>
      <c r="H54" s="115"/>
      <c r="I54" s="115"/>
      <c r="J54" s="115"/>
      <c r="K54" s="115"/>
      <c r="L54" s="115"/>
      <c r="M54" s="115"/>
      <c r="N54" s="115"/>
      <c r="O54" s="115"/>
      <c r="P54" s="278">
        <f t="shared" si="4"/>
        <v>37033</v>
      </c>
    </row>
    <row r="55" spans="1:16" ht="86.25" customHeight="1" x14ac:dyDescent="0.25">
      <c r="A55" s="292" t="s">
        <v>644</v>
      </c>
      <c r="B55" s="50" t="s">
        <v>647</v>
      </c>
      <c r="C55" s="50" t="s">
        <v>57</v>
      </c>
      <c r="D55" s="131" t="s">
        <v>649</v>
      </c>
      <c r="E55" s="277">
        <f t="shared" ref="E55:E56" si="10">F55</f>
        <v>75840</v>
      </c>
      <c r="F55" s="277">
        <v>75840</v>
      </c>
      <c r="G55" s="277"/>
      <c r="H55" s="53"/>
      <c r="I55" s="53"/>
      <c r="J55" s="53"/>
      <c r="K55" s="53"/>
      <c r="L55" s="53"/>
      <c r="M55" s="53"/>
      <c r="N55" s="53"/>
      <c r="O55" s="53"/>
      <c r="P55" s="278">
        <f t="shared" si="4"/>
        <v>75840</v>
      </c>
    </row>
    <row r="56" spans="1:16" ht="67.5" customHeight="1" x14ac:dyDescent="0.25">
      <c r="A56" s="293" t="s">
        <v>645</v>
      </c>
      <c r="B56" s="294" t="s">
        <v>646</v>
      </c>
      <c r="C56" s="294" t="s">
        <v>57</v>
      </c>
      <c r="D56" s="295" t="s">
        <v>648</v>
      </c>
      <c r="E56" s="284">
        <f t="shared" si="10"/>
        <v>0</v>
      </c>
      <c r="F56" s="284"/>
      <c r="G56" s="284"/>
      <c r="H56" s="115"/>
      <c r="I56" s="115"/>
      <c r="J56" s="115">
        <f>L56+O56</f>
        <v>176940</v>
      </c>
      <c r="K56" s="115"/>
      <c r="L56" s="115">
        <v>176940</v>
      </c>
      <c r="M56" s="115"/>
      <c r="N56" s="115"/>
      <c r="O56" s="115"/>
      <c r="P56" s="296">
        <f t="shared" si="4"/>
        <v>176940</v>
      </c>
    </row>
    <row r="57" spans="1:16" ht="87" customHeight="1" x14ac:dyDescent="0.25">
      <c r="A57" s="261" t="s">
        <v>67</v>
      </c>
      <c r="B57" s="262" t="s">
        <v>68</v>
      </c>
      <c r="C57" s="262" t="s">
        <v>69</v>
      </c>
      <c r="D57" s="94" t="s">
        <v>70</v>
      </c>
      <c r="E57" s="284">
        <f t="shared" si="9"/>
        <v>357382</v>
      </c>
      <c r="F57" s="284">
        <v>357382</v>
      </c>
      <c r="G57" s="284">
        <f>42756+9406</f>
        <v>52162</v>
      </c>
      <c r="H57" s="284">
        <v>1442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296">
        <f t="shared" si="4"/>
        <v>357382</v>
      </c>
    </row>
    <row r="58" spans="1:16" ht="47.25" x14ac:dyDescent="0.25">
      <c r="A58" s="151" t="s">
        <v>241</v>
      </c>
      <c r="B58" s="138" t="s">
        <v>242</v>
      </c>
      <c r="C58" s="138" t="s">
        <v>232</v>
      </c>
      <c r="D58" s="297" t="s">
        <v>233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f>L58+O58</f>
        <v>47850</v>
      </c>
      <c r="K58" s="115">
        <f>O58</f>
        <v>47850</v>
      </c>
      <c r="L58" s="115">
        <v>0</v>
      </c>
      <c r="M58" s="115">
        <v>0</v>
      </c>
      <c r="N58" s="115">
        <v>0</v>
      </c>
      <c r="O58" s="115">
        <v>47850</v>
      </c>
      <c r="P58" s="296">
        <f t="shared" si="4"/>
        <v>47850</v>
      </c>
    </row>
    <row r="59" spans="1:16" ht="32.25" thickBot="1" x14ac:dyDescent="0.3">
      <c r="A59" s="858" t="s">
        <v>661</v>
      </c>
      <c r="B59" s="859" t="s">
        <v>143</v>
      </c>
      <c r="C59" s="301" t="s">
        <v>144</v>
      </c>
      <c r="D59" s="302" t="s">
        <v>145</v>
      </c>
      <c r="E59" s="304"/>
      <c r="F59" s="304"/>
      <c r="G59" s="304"/>
      <c r="H59" s="304"/>
      <c r="I59" s="304"/>
      <c r="J59" s="115">
        <f>L59+O59</f>
        <v>14175</v>
      </c>
      <c r="K59" s="115">
        <f>O59</f>
        <v>0</v>
      </c>
      <c r="L59" s="304">
        <v>14175</v>
      </c>
      <c r="M59" s="304"/>
      <c r="N59" s="304"/>
      <c r="O59" s="304"/>
      <c r="P59" s="296">
        <f t="shared" si="4"/>
        <v>14175</v>
      </c>
    </row>
    <row r="60" spans="1:16" ht="58.9" customHeight="1" thickBot="1" x14ac:dyDescent="0.3">
      <c r="A60" s="246" t="s">
        <v>71</v>
      </c>
      <c r="B60" s="265" t="s">
        <v>16</v>
      </c>
      <c r="C60" s="265" t="s">
        <v>16</v>
      </c>
      <c r="D60" s="266" t="s">
        <v>72</v>
      </c>
      <c r="E60" s="269">
        <f>E61</f>
        <v>27753015</v>
      </c>
      <c r="F60" s="269">
        <f>F61</f>
        <v>27753015</v>
      </c>
      <c r="G60" s="269">
        <f t="shared" ref="G60:I60" si="11">G61</f>
        <v>14444172</v>
      </c>
      <c r="H60" s="269">
        <f t="shared" si="11"/>
        <v>369629</v>
      </c>
      <c r="I60" s="269">
        <f t="shared" si="11"/>
        <v>0</v>
      </c>
      <c r="J60" s="269">
        <f>J61</f>
        <v>5348001</v>
      </c>
      <c r="K60" s="269">
        <f>K61</f>
        <v>5338101</v>
      </c>
      <c r="L60" s="269">
        <f t="shared" ref="L60:O60" si="12">L61</f>
        <v>9900</v>
      </c>
      <c r="M60" s="269">
        <f t="shared" si="12"/>
        <v>0</v>
      </c>
      <c r="N60" s="269">
        <f t="shared" si="12"/>
        <v>0</v>
      </c>
      <c r="O60" s="269">
        <f t="shared" si="12"/>
        <v>5338101</v>
      </c>
      <c r="P60" s="286">
        <f>E60+J60</f>
        <v>33101016</v>
      </c>
    </row>
    <row r="61" spans="1:16" ht="47.25" x14ac:dyDescent="0.25">
      <c r="A61" s="271" t="s">
        <v>73</v>
      </c>
      <c r="B61" s="272" t="s">
        <v>16</v>
      </c>
      <c r="C61" s="272" t="s">
        <v>16</v>
      </c>
      <c r="D61" s="273" t="s">
        <v>72</v>
      </c>
      <c r="E61" s="298">
        <f>E62+E63+E64+E65+E66+E67+E68+E69+E72+E73</f>
        <v>27753015</v>
      </c>
      <c r="F61" s="287">
        <f>F62+F63+F64+F65+F66+F67+F68+F69+F72+F73</f>
        <v>27753015</v>
      </c>
      <c r="G61" s="287">
        <f t="shared" ref="G61:I61" si="13">G62+G63+G64+G67+G68+G72+G73</f>
        <v>14444172</v>
      </c>
      <c r="H61" s="287">
        <f t="shared" si="13"/>
        <v>369629</v>
      </c>
      <c r="I61" s="287">
        <f t="shared" si="13"/>
        <v>0</v>
      </c>
      <c r="J61" s="298">
        <f>J62+J63+J64+J67+J68+J72+J73+J70+J71</f>
        <v>5348001</v>
      </c>
      <c r="K61" s="287">
        <f>K62+K63+K64+K67+K68+K72+K73+K70+K71</f>
        <v>5338101</v>
      </c>
      <c r="L61" s="287">
        <f t="shared" ref="L61:N61" si="14">L62+L63+L64+L67+L68+L72+L73</f>
        <v>9900</v>
      </c>
      <c r="M61" s="287">
        <f t="shared" si="14"/>
        <v>0</v>
      </c>
      <c r="N61" s="287">
        <f t="shared" si="14"/>
        <v>0</v>
      </c>
      <c r="O61" s="287">
        <f>O62+O63+O64+O67+O68+O72+O73+O70+O71</f>
        <v>5338101</v>
      </c>
      <c r="P61" s="288">
        <f>E61+J61</f>
        <v>33101016</v>
      </c>
    </row>
    <row r="62" spans="1:16" ht="58.9" customHeight="1" x14ac:dyDescent="0.25">
      <c r="A62" s="202" t="s">
        <v>455</v>
      </c>
      <c r="B62" s="182" t="s">
        <v>437</v>
      </c>
      <c r="C62" s="182" t="s">
        <v>19</v>
      </c>
      <c r="D62" s="52" t="s">
        <v>438</v>
      </c>
      <c r="E62" s="277">
        <f>F62+I62</f>
        <v>6812637</v>
      </c>
      <c r="F62" s="277">
        <f>6778637+16000+18000</f>
        <v>6812637</v>
      </c>
      <c r="G62" s="277">
        <f>5209609+1146114</f>
        <v>6355723</v>
      </c>
      <c r="H62" s="277">
        <v>172769</v>
      </c>
      <c r="I62" s="53">
        <v>0</v>
      </c>
      <c r="J62" s="53">
        <f>L62+O62</f>
        <v>83950</v>
      </c>
      <c r="K62" s="53">
        <f>O62</f>
        <v>83950</v>
      </c>
      <c r="L62" s="53">
        <v>0</v>
      </c>
      <c r="M62" s="53">
        <v>0</v>
      </c>
      <c r="N62" s="53">
        <v>0</v>
      </c>
      <c r="O62" s="53">
        <v>83950</v>
      </c>
      <c r="P62" s="278">
        <f>E62+J62</f>
        <v>6896587</v>
      </c>
    </row>
    <row r="63" spans="1:16" ht="47.25" x14ac:dyDescent="0.25">
      <c r="A63" s="202" t="s">
        <v>74</v>
      </c>
      <c r="B63" s="182" t="s">
        <v>75</v>
      </c>
      <c r="C63" s="182" t="s">
        <v>76</v>
      </c>
      <c r="D63" s="52" t="s">
        <v>77</v>
      </c>
      <c r="E63" s="277">
        <f t="shared" ref="E63:E73" si="15">F63+I63</f>
        <v>15000</v>
      </c>
      <c r="F63" s="277">
        <v>15000</v>
      </c>
      <c r="G63" s="277">
        <v>0</v>
      </c>
      <c r="H63" s="277">
        <v>0</v>
      </c>
      <c r="I63" s="53">
        <v>0</v>
      </c>
      <c r="J63" s="53">
        <f t="shared" ref="J63:J72" si="16">L63+O63</f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278">
        <f t="shared" ref="P63:P140" si="17">E63+J63</f>
        <v>15000</v>
      </c>
    </row>
    <row r="64" spans="1:16" ht="35.450000000000003" customHeight="1" x14ac:dyDescent="0.25">
      <c r="A64" s="202" t="s">
        <v>78</v>
      </c>
      <c r="B64" s="182" t="s">
        <v>79</v>
      </c>
      <c r="C64" s="182" t="s">
        <v>54</v>
      </c>
      <c r="D64" s="52" t="s">
        <v>80</v>
      </c>
      <c r="E64" s="277">
        <f t="shared" si="15"/>
        <v>18450</v>
      </c>
      <c r="F64" s="277">
        <v>18450</v>
      </c>
      <c r="G64" s="277">
        <v>0</v>
      </c>
      <c r="H64" s="277">
        <v>0</v>
      </c>
      <c r="I64" s="53">
        <v>0</v>
      </c>
      <c r="J64" s="53">
        <f t="shared" si="16"/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278">
        <f t="shared" si="17"/>
        <v>18450</v>
      </c>
    </row>
    <row r="65" spans="1:16" ht="60.6" customHeight="1" x14ac:dyDescent="0.25">
      <c r="A65" s="279" t="s">
        <v>456</v>
      </c>
      <c r="B65" s="132" t="s">
        <v>457</v>
      </c>
      <c r="C65" s="182" t="s">
        <v>54</v>
      </c>
      <c r="D65" s="52" t="s">
        <v>458</v>
      </c>
      <c r="E65" s="277">
        <f t="shared" si="15"/>
        <v>25445</v>
      </c>
      <c r="F65" s="277">
        <f>50445-25000</f>
        <v>25445</v>
      </c>
      <c r="G65" s="277">
        <v>0</v>
      </c>
      <c r="H65" s="277">
        <v>0</v>
      </c>
      <c r="I65" s="53">
        <v>0</v>
      </c>
      <c r="J65" s="53">
        <f t="shared" si="16"/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278">
        <f t="shared" si="17"/>
        <v>25445</v>
      </c>
    </row>
    <row r="66" spans="1:16" ht="47.25" x14ac:dyDescent="0.25">
      <c r="A66" s="279" t="s">
        <v>459</v>
      </c>
      <c r="B66" s="132" t="s">
        <v>460</v>
      </c>
      <c r="C66" s="132" t="s">
        <v>76</v>
      </c>
      <c r="D66" s="133" t="s">
        <v>461</v>
      </c>
      <c r="E66" s="277">
        <f t="shared" si="15"/>
        <v>82418</v>
      </c>
      <c r="F66" s="277">
        <f>50420+31998</f>
        <v>82418</v>
      </c>
      <c r="G66" s="277">
        <v>0</v>
      </c>
      <c r="H66" s="277">
        <v>0</v>
      </c>
      <c r="I66" s="53">
        <v>0</v>
      </c>
      <c r="J66" s="53">
        <f t="shared" si="16"/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278">
        <f t="shared" si="17"/>
        <v>82418</v>
      </c>
    </row>
    <row r="67" spans="1:16" ht="31.5" x14ac:dyDescent="0.25">
      <c r="A67" s="202" t="s">
        <v>462</v>
      </c>
      <c r="B67" s="182" t="s">
        <v>463</v>
      </c>
      <c r="C67" s="182" t="s">
        <v>47</v>
      </c>
      <c r="D67" s="52" t="s">
        <v>464</v>
      </c>
      <c r="E67" s="277">
        <f t="shared" si="15"/>
        <v>3517227</v>
      </c>
      <c r="F67" s="277">
        <v>3517227</v>
      </c>
      <c r="G67" s="277">
        <f>2719168+598217</f>
        <v>3317385</v>
      </c>
      <c r="H67" s="277">
        <v>82842</v>
      </c>
      <c r="I67" s="53">
        <v>0</v>
      </c>
      <c r="J67" s="53">
        <f t="shared" si="16"/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278">
        <f t="shared" si="17"/>
        <v>3517227</v>
      </c>
    </row>
    <row r="68" spans="1:16" ht="114.6" customHeight="1" x14ac:dyDescent="0.25">
      <c r="A68" s="899" t="s">
        <v>465</v>
      </c>
      <c r="B68" s="900" t="s">
        <v>466</v>
      </c>
      <c r="C68" s="900" t="s">
        <v>47</v>
      </c>
      <c r="D68" s="52" t="s">
        <v>467</v>
      </c>
      <c r="E68" s="277">
        <f t="shared" si="15"/>
        <v>79236</v>
      </c>
      <c r="F68" s="277">
        <f>62136+17100</f>
        <v>79236</v>
      </c>
      <c r="G68" s="277">
        <v>0</v>
      </c>
      <c r="H68" s="277">
        <v>0</v>
      </c>
      <c r="I68" s="53">
        <v>0</v>
      </c>
      <c r="J68" s="53">
        <f t="shared" si="16"/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278">
        <f t="shared" si="17"/>
        <v>79236</v>
      </c>
    </row>
    <row r="69" spans="1:16" ht="111" customHeight="1" x14ac:dyDescent="0.25">
      <c r="A69" s="279" t="s">
        <v>468</v>
      </c>
      <c r="B69" s="132" t="s">
        <v>469</v>
      </c>
      <c r="C69" s="132" t="s">
        <v>47</v>
      </c>
      <c r="D69" s="133" t="s">
        <v>470</v>
      </c>
      <c r="E69" s="277">
        <f t="shared" si="15"/>
        <v>15905</v>
      </c>
      <c r="F69" s="277">
        <f>18905-3000</f>
        <v>15905</v>
      </c>
      <c r="G69" s="277">
        <v>0</v>
      </c>
      <c r="H69" s="277">
        <v>0</v>
      </c>
      <c r="I69" s="53">
        <v>0</v>
      </c>
      <c r="J69" s="53">
        <f t="shared" si="16"/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278">
        <f t="shared" si="17"/>
        <v>15905</v>
      </c>
    </row>
    <row r="70" spans="1:16" ht="409.5" customHeight="1" x14ac:dyDescent="0.25">
      <c r="A70" s="279" t="s">
        <v>471</v>
      </c>
      <c r="B70" s="132" t="s">
        <v>472</v>
      </c>
      <c r="C70" s="132" t="s">
        <v>473</v>
      </c>
      <c r="D70" s="299" t="s">
        <v>474</v>
      </c>
      <c r="E70" s="277"/>
      <c r="F70" s="277"/>
      <c r="G70" s="277"/>
      <c r="H70" s="277"/>
      <c r="I70" s="53"/>
      <c r="J70" s="53">
        <f>K70</f>
        <v>3758953</v>
      </c>
      <c r="K70" s="53">
        <f>O70</f>
        <v>3758953</v>
      </c>
      <c r="L70" s="53"/>
      <c r="M70" s="53"/>
      <c r="N70" s="53"/>
      <c r="O70" s="53">
        <v>3758953</v>
      </c>
      <c r="P70" s="278">
        <f>J70</f>
        <v>3758953</v>
      </c>
    </row>
    <row r="71" spans="1:16" ht="399" customHeight="1" x14ac:dyDescent="0.25">
      <c r="A71" s="279" t="s">
        <v>475</v>
      </c>
      <c r="B71" s="132" t="s">
        <v>476</v>
      </c>
      <c r="C71" s="132" t="s">
        <v>473</v>
      </c>
      <c r="D71" s="299" t="s">
        <v>477</v>
      </c>
      <c r="E71" s="277"/>
      <c r="F71" s="277"/>
      <c r="G71" s="277"/>
      <c r="H71" s="277"/>
      <c r="I71" s="53"/>
      <c r="J71" s="53">
        <f>K71</f>
        <v>1495198</v>
      </c>
      <c r="K71" s="53">
        <f>O71</f>
        <v>1495198</v>
      </c>
      <c r="L71" s="53"/>
      <c r="M71" s="53"/>
      <c r="N71" s="53"/>
      <c r="O71" s="53">
        <v>1495198</v>
      </c>
      <c r="P71" s="278">
        <f>J71</f>
        <v>1495198</v>
      </c>
    </row>
    <row r="72" spans="1:16" ht="54.6" customHeight="1" x14ac:dyDescent="0.25">
      <c r="A72" s="202" t="s">
        <v>478</v>
      </c>
      <c r="B72" s="182" t="s">
        <v>479</v>
      </c>
      <c r="C72" s="182" t="s">
        <v>81</v>
      </c>
      <c r="D72" s="52" t="s">
        <v>480</v>
      </c>
      <c r="E72" s="277">
        <f t="shared" si="15"/>
        <v>5011797</v>
      </c>
      <c r="F72" s="277">
        <v>5011797</v>
      </c>
      <c r="G72" s="277">
        <f>3910708+860356</f>
        <v>4771064</v>
      </c>
      <c r="H72" s="277">
        <v>114018</v>
      </c>
      <c r="I72" s="53">
        <v>0</v>
      </c>
      <c r="J72" s="53">
        <f t="shared" si="16"/>
        <v>9900</v>
      </c>
      <c r="K72" s="53">
        <v>0</v>
      </c>
      <c r="L72" s="53">
        <v>9900</v>
      </c>
      <c r="M72" s="53">
        <v>0</v>
      </c>
      <c r="N72" s="53">
        <v>0</v>
      </c>
      <c r="O72" s="53">
        <v>0</v>
      </c>
      <c r="P72" s="278">
        <f t="shared" si="17"/>
        <v>5021697</v>
      </c>
    </row>
    <row r="73" spans="1:16" ht="41.45" customHeight="1" thickBot="1" x14ac:dyDescent="0.3">
      <c r="A73" s="300" t="s">
        <v>82</v>
      </c>
      <c r="B73" s="301" t="s">
        <v>83</v>
      </c>
      <c r="C73" s="301" t="s">
        <v>81</v>
      </c>
      <c r="D73" s="302" t="s">
        <v>84</v>
      </c>
      <c r="E73" s="303">
        <f t="shared" si="15"/>
        <v>12174900</v>
      </c>
      <c r="F73" s="303">
        <f>11199600+92400+900000-17100</f>
        <v>12174900</v>
      </c>
      <c r="G73" s="303">
        <v>0</v>
      </c>
      <c r="H73" s="303">
        <v>0</v>
      </c>
      <c r="I73" s="304">
        <v>0</v>
      </c>
      <c r="J73" s="304">
        <f>L73+O73</f>
        <v>0</v>
      </c>
      <c r="K73" s="304">
        <v>0</v>
      </c>
      <c r="L73" s="304">
        <v>0</v>
      </c>
      <c r="M73" s="304">
        <v>0</v>
      </c>
      <c r="N73" s="304">
        <v>0</v>
      </c>
      <c r="O73" s="304">
        <v>0</v>
      </c>
      <c r="P73" s="305">
        <f t="shared" si="17"/>
        <v>12174900</v>
      </c>
    </row>
    <row r="74" spans="1:16" ht="54" customHeight="1" thickBot="1" x14ac:dyDescent="0.3">
      <c r="A74" s="246" t="s">
        <v>85</v>
      </c>
      <c r="B74" s="265" t="s">
        <v>16</v>
      </c>
      <c r="C74" s="265" t="s">
        <v>16</v>
      </c>
      <c r="D74" s="266" t="s">
        <v>86</v>
      </c>
      <c r="E74" s="269">
        <f>E75</f>
        <v>1601990</v>
      </c>
      <c r="F74" s="269">
        <f>F75</f>
        <v>1601990</v>
      </c>
      <c r="G74" s="269">
        <f t="shared" ref="G74:I74" si="18">G75</f>
        <v>1520678</v>
      </c>
      <c r="H74" s="269">
        <f t="shared" si="18"/>
        <v>0</v>
      </c>
      <c r="I74" s="269">
        <f t="shared" si="18"/>
        <v>0</v>
      </c>
      <c r="J74" s="269">
        <f>J75</f>
        <v>0</v>
      </c>
      <c r="K74" s="269">
        <f>K75</f>
        <v>0</v>
      </c>
      <c r="L74" s="269">
        <f t="shared" ref="L74:O74" si="19">L75</f>
        <v>0</v>
      </c>
      <c r="M74" s="269">
        <f t="shared" si="19"/>
        <v>0</v>
      </c>
      <c r="N74" s="269">
        <f t="shared" si="19"/>
        <v>0</v>
      </c>
      <c r="O74" s="269">
        <f t="shared" si="19"/>
        <v>0</v>
      </c>
      <c r="P74" s="286">
        <f t="shared" si="17"/>
        <v>1601990</v>
      </c>
    </row>
    <row r="75" spans="1:16" ht="47.25" x14ac:dyDescent="0.25">
      <c r="A75" s="271" t="s">
        <v>87</v>
      </c>
      <c r="B75" s="272" t="s">
        <v>16</v>
      </c>
      <c r="C75" s="272" t="s">
        <v>16</v>
      </c>
      <c r="D75" s="273" t="s">
        <v>86</v>
      </c>
      <c r="E75" s="287">
        <f>E76+E77</f>
        <v>1601990</v>
      </c>
      <c r="F75" s="287">
        <f>F76+F77</f>
        <v>1601990</v>
      </c>
      <c r="G75" s="287">
        <f t="shared" ref="G75:I75" si="20">G76+G77</f>
        <v>1520678</v>
      </c>
      <c r="H75" s="287">
        <f t="shared" si="20"/>
        <v>0</v>
      </c>
      <c r="I75" s="287">
        <f t="shared" si="20"/>
        <v>0</v>
      </c>
      <c r="J75" s="287">
        <f>J76+J77</f>
        <v>0</v>
      </c>
      <c r="K75" s="287">
        <f>K76+K77</f>
        <v>0</v>
      </c>
      <c r="L75" s="287">
        <f t="shared" ref="L75:O75" si="21">L76+L77</f>
        <v>0</v>
      </c>
      <c r="M75" s="287">
        <f t="shared" si="21"/>
        <v>0</v>
      </c>
      <c r="N75" s="287">
        <f t="shared" si="21"/>
        <v>0</v>
      </c>
      <c r="O75" s="287">
        <f t="shared" si="21"/>
        <v>0</v>
      </c>
      <c r="P75" s="288">
        <f t="shared" si="17"/>
        <v>1601990</v>
      </c>
    </row>
    <row r="76" spans="1:16" ht="56.45" customHeight="1" x14ac:dyDescent="0.25">
      <c r="A76" s="202" t="s">
        <v>481</v>
      </c>
      <c r="B76" s="182" t="s">
        <v>437</v>
      </c>
      <c r="C76" s="182" t="s">
        <v>19</v>
      </c>
      <c r="D76" s="52" t="s">
        <v>438</v>
      </c>
      <c r="E76" s="277">
        <f>F76+I76</f>
        <v>1565990</v>
      </c>
      <c r="F76" s="277">
        <v>1565990</v>
      </c>
      <c r="G76" s="277">
        <f>1246457+274221</f>
        <v>1520678</v>
      </c>
      <c r="H76" s="277">
        <v>0</v>
      </c>
      <c r="I76" s="53">
        <v>0</v>
      </c>
      <c r="J76" s="53">
        <f>L76+O76</f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278">
        <f t="shared" si="17"/>
        <v>1565990</v>
      </c>
    </row>
    <row r="77" spans="1:16" ht="41.45" customHeight="1" thickBot="1" x14ac:dyDescent="0.3">
      <c r="A77" s="261" t="s">
        <v>88</v>
      </c>
      <c r="B77" s="262" t="s">
        <v>89</v>
      </c>
      <c r="C77" s="262" t="s">
        <v>69</v>
      </c>
      <c r="D77" s="94" t="s">
        <v>90</v>
      </c>
      <c r="E77" s="284">
        <f>F77+I77</f>
        <v>36000</v>
      </c>
      <c r="F77" s="284">
        <v>36000</v>
      </c>
      <c r="G77" s="284">
        <v>0</v>
      </c>
      <c r="H77" s="284">
        <v>0</v>
      </c>
      <c r="I77" s="115">
        <v>0</v>
      </c>
      <c r="J77" s="115">
        <f>L77+O77</f>
        <v>0</v>
      </c>
      <c r="K77" s="115">
        <v>0</v>
      </c>
      <c r="L77" s="115">
        <v>0</v>
      </c>
      <c r="M77" s="115">
        <v>0</v>
      </c>
      <c r="N77" s="115">
        <v>0</v>
      </c>
      <c r="O77" s="115">
        <v>0</v>
      </c>
      <c r="P77" s="296">
        <f t="shared" si="17"/>
        <v>36000</v>
      </c>
    </row>
    <row r="78" spans="1:16" s="306" customFormat="1" ht="72" customHeight="1" thickBot="1" x14ac:dyDescent="0.3">
      <c r="A78" s="246" t="s">
        <v>91</v>
      </c>
      <c r="B78" s="265" t="s">
        <v>16</v>
      </c>
      <c r="C78" s="265" t="s">
        <v>16</v>
      </c>
      <c r="D78" s="266" t="s">
        <v>92</v>
      </c>
      <c r="E78" s="269">
        <f>E79</f>
        <v>88521384</v>
      </c>
      <c r="F78" s="269">
        <f>F79</f>
        <v>88521384</v>
      </c>
      <c r="G78" s="269">
        <f t="shared" ref="G78:I78" si="22">G79</f>
        <v>44581291</v>
      </c>
      <c r="H78" s="269">
        <f t="shared" si="22"/>
        <v>7690564</v>
      </c>
      <c r="I78" s="269">
        <f t="shared" si="22"/>
        <v>0</v>
      </c>
      <c r="J78" s="269">
        <f>J79</f>
        <v>1007977</v>
      </c>
      <c r="K78" s="269">
        <f>K79</f>
        <v>95000</v>
      </c>
      <c r="L78" s="269">
        <f t="shared" ref="L78:O78" si="23">L79</f>
        <v>912977</v>
      </c>
      <c r="M78" s="269">
        <f t="shared" si="23"/>
        <v>769014</v>
      </c>
      <c r="N78" s="269">
        <f t="shared" si="23"/>
        <v>0</v>
      </c>
      <c r="O78" s="269">
        <f t="shared" si="23"/>
        <v>95000</v>
      </c>
      <c r="P78" s="286">
        <f t="shared" si="17"/>
        <v>89529361</v>
      </c>
    </row>
    <row r="79" spans="1:16" s="289" customFormat="1" ht="63" x14ac:dyDescent="0.25">
      <c r="A79" s="271" t="s">
        <v>93</v>
      </c>
      <c r="B79" s="272" t="s">
        <v>16</v>
      </c>
      <c r="C79" s="272" t="s">
        <v>16</v>
      </c>
      <c r="D79" s="273" t="s">
        <v>92</v>
      </c>
      <c r="E79" s="287">
        <f>E80+E81+E82+E83+E84+E85+E86+E87+E88+E89+E90+E92+E93+E94+E95+E91</f>
        <v>88521384</v>
      </c>
      <c r="F79" s="287">
        <f>F80+F81+F82+F83+F84+F85+F86+F87+F88+F89+F90+F92+F93+F94+F95+F91</f>
        <v>88521384</v>
      </c>
      <c r="G79" s="287">
        <f>G80+G81+G82+G83+G84+G85+G86+G87+G88+G89+G90+G92+G93+G91</f>
        <v>44581291</v>
      </c>
      <c r="H79" s="287">
        <f t="shared" ref="H79:O79" si="24">H80+H81+H82+H83+H84+H85+H86+H87+H88+H89+H90+H92+H93</f>
        <v>7690564</v>
      </c>
      <c r="I79" s="287">
        <f t="shared" si="24"/>
        <v>0</v>
      </c>
      <c r="J79" s="287">
        <f t="shared" si="24"/>
        <v>1007977</v>
      </c>
      <c r="K79" s="287">
        <f t="shared" si="24"/>
        <v>95000</v>
      </c>
      <c r="L79" s="287">
        <f t="shared" si="24"/>
        <v>912977</v>
      </c>
      <c r="M79" s="287">
        <f t="shared" si="24"/>
        <v>769014</v>
      </c>
      <c r="N79" s="287">
        <f t="shared" si="24"/>
        <v>0</v>
      </c>
      <c r="O79" s="287">
        <f t="shared" si="24"/>
        <v>95000</v>
      </c>
      <c r="P79" s="288">
        <f>E79+J79</f>
        <v>89529361</v>
      </c>
    </row>
    <row r="80" spans="1:16" ht="47.25" x14ac:dyDescent="0.25">
      <c r="A80" s="202" t="s">
        <v>482</v>
      </c>
      <c r="B80" s="182" t="s">
        <v>437</v>
      </c>
      <c r="C80" s="182" t="s">
        <v>19</v>
      </c>
      <c r="D80" s="52" t="s">
        <v>438</v>
      </c>
      <c r="E80" s="277">
        <f>F80+I80</f>
        <v>2368719</v>
      </c>
      <c r="F80" s="277">
        <v>2368719</v>
      </c>
      <c r="G80" s="277">
        <f>1898109+417584</f>
        <v>2315693</v>
      </c>
      <c r="H80" s="277">
        <v>0</v>
      </c>
      <c r="I80" s="53">
        <v>0</v>
      </c>
      <c r="J80" s="53">
        <f>L80+O80</f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278">
        <f t="shared" si="17"/>
        <v>2368719</v>
      </c>
    </row>
    <row r="81" spans="1:16" ht="31.5" x14ac:dyDescent="0.25">
      <c r="A81" s="202" t="s">
        <v>94</v>
      </c>
      <c r="B81" s="182" t="s">
        <v>95</v>
      </c>
      <c r="C81" s="182" t="s">
        <v>55</v>
      </c>
      <c r="D81" s="52" t="s">
        <v>96</v>
      </c>
      <c r="E81" s="277">
        <f>F81+I81</f>
        <v>13334013</v>
      </c>
      <c r="F81" s="277">
        <f>13539505-205492</f>
        <v>13334013</v>
      </c>
      <c r="G81" s="277">
        <f>10632545+2339159-177230-38991</f>
        <v>12755483</v>
      </c>
      <c r="H81" s="277">
        <v>441577</v>
      </c>
      <c r="I81" s="53">
        <v>0</v>
      </c>
      <c r="J81" s="53">
        <f t="shared" ref="J81:J95" si="25">L81+O81</f>
        <v>769014</v>
      </c>
      <c r="K81" s="53">
        <v>0</v>
      </c>
      <c r="L81" s="53">
        <v>769014</v>
      </c>
      <c r="M81" s="53">
        <f>630339+138675</f>
        <v>769014</v>
      </c>
      <c r="N81" s="53">
        <v>0</v>
      </c>
      <c r="O81" s="53">
        <v>0</v>
      </c>
      <c r="P81" s="278">
        <f t="shared" si="17"/>
        <v>14103027</v>
      </c>
    </row>
    <row r="82" spans="1:16" ht="31.5" x14ac:dyDescent="0.25">
      <c r="A82" s="202" t="s">
        <v>97</v>
      </c>
      <c r="B82" s="182" t="s">
        <v>98</v>
      </c>
      <c r="C82" s="182" t="s">
        <v>69</v>
      </c>
      <c r="D82" s="52" t="s">
        <v>99</v>
      </c>
      <c r="E82" s="277">
        <f t="shared" ref="E82:E95" si="26">F82+I82</f>
        <v>168000</v>
      </c>
      <c r="F82" s="277">
        <f>33600+106400+28000</f>
        <v>168000</v>
      </c>
      <c r="G82" s="277">
        <v>0</v>
      </c>
      <c r="H82" s="277">
        <v>0</v>
      </c>
      <c r="I82" s="53">
        <v>0</v>
      </c>
      <c r="J82" s="53">
        <f t="shared" si="25"/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278">
        <f t="shared" si="17"/>
        <v>168000</v>
      </c>
    </row>
    <row r="83" spans="1:16" ht="28.15" customHeight="1" x14ac:dyDescent="0.25">
      <c r="A83" s="202" t="s">
        <v>100</v>
      </c>
      <c r="B83" s="182" t="s">
        <v>101</v>
      </c>
      <c r="C83" s="182" t="s">
        <v>102</v>
      </c>
      <c r="D83" s="52" t="s">
        <v>103</v>
      </c>
      <c r="E83" s="277">
        <f t="shared" si="26"/>
        <v>4471150</v>
      </c>
      <c r="F83" s="277">
        <f>4176088+292289+2773</f>
        <v>4471150</v>
      </c>
      <c r="G83" s="277">
        <f>2944486+647787</f>
        <v>3592273</v>
      </c>
      <c r="H83" s="277">
        <v>384903</v>
      </c>
      <c r="I83" s="53">
        <v>0</v>
      </c>
      <c r="J83" s="53">
        <f t="shared" si="25"/>
        <v>23000</v>
      </c>
      <c r="K83" s="53">
        <f>O83</f>
        <v>23000</v>
      </c>
      <c r="L83" s="53">
        <v>0</v>
      </c>
      <c r="M83" s="53">
        <v>0</v>
      </c>
      <c r="N83" s="53">
        <v>0</v>
      </c>
      <c r="O83" s="53">
        <v>23000</v>
      </c>
      <c r="P83" s="278">
        <f>E83+J83</f>
        <v>4494150</v>
      </c>
    </row>
    <row r="84" spans="1:16" ht="31.5" x14ac:dyDescent="0.25">
      <c r="A84" s="202" t="s">
        <v>104</v>
      </c>
      <c r="B84" s="182" t="s">
        <v>105</v>
      </c>
      <c r="C84" s="182" t="s">
        <v>102</v>
      </c>
      <c r="D84" s="52" t="s">
        <v>106</v>
      </c>
      <c r="E84" s="277">
        <f t="shared" si="26"/>
        <v>1117719</v>
      </c>
      <c r="F84" s="277">
        <f>1115593+2126</f>
        <v>1117719</v>
      </c>
      <c r="G84" s="277">
        <f>741872+163212</f>
        <v>905084</v>
      </c>
      <c r="H84" s="277">
        <v>128191</v>
      </c>
      <c r="I84" s="53">
        <v>0</v>
      </c>
      <c r="J84" s="53">
        <f t="shared" si="25"/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278">
        <f t="shared" si="17"/>
        <v>1117719</v>
      </c>
    </row>
    <row r="85" spans="1:16" ht="47.25" x14ac:dyDescent="0.25">
      <c r="A85" s="202" t="s">
        <v>107</v>
      </c>
      <c r="B85" s="182" t="s">
        <v>108</v>
      </c>
      <c r="C85" s="182" t="s">
        <v>109</v>
      </c>
      <c r="D85" s="52" t="s">
        <v>110</v>
      </c>
      <c r="E85" s="277">
        <f t="shared" si="26"/>
        <v>23206483</v>
      </c>
      <c r="F85" s="277">
        <f>23259441+196192+0-249150</f>
        <v>23206483</v>
      </c>
      <c r="G85" s="277">
        <f>12881207+2833866</f>
        <v>15715073</v>
      </c>
      <c r="H85" s="277">
        <f>6450128-163055-432674</f>
        <v>5854399</v>
      </c>
      <c r="I85" s="53">
        <v>0</v>
      </c>
      <c r="J85" s="53">
        <f>L85+O85</f>
        <v>215963</v>
      </c>
      <c r="K85" s="53">
        <f>O85</f>
        <v>72000</v>
      </c>
      <c r="L85" s="53">
        <v>143963</v>
      </c>
      <c r="M85" s="53">
        <v>0</v>
      </c>
      <c r="N85" s="53">
        <v>0</v>
      </c>
      <c r="O85" s="53">
        <v>72000</v>
      </c>
      <c r="P85" s="278">
        <f>E85+J85</f>
        <v>23422446</v>
      </c>
    </row>
    <row r="86" spans="1:16" ht="31.5" x14ac:dyDescent="0.25">
      <c r="A86" s="202" t="s">
        <v>483</v>
      </c>
      <c r="B86" s="182" t="s">
        <v>484</v>
      </c>
      <c r="C86" s="182" t="s">
        <v>111</v>
      </c>
      <c r="D86" s="52" t="s">
        <v>485</v>
      </c>
      <c r="E86" s="277">
        <f t="shared" si="26"/>
        <v>1503535</v>
      </c>
      <c r="F86" s="277">
        <v>1503535</v>
      </c>
      <c r="G86" s="277">
        <f>1158342+254835</f>
        <v>1413177</v>
      </c>
      <c r="H86" s="277">
        <v>0</v>
      </c>
      <c r="I86" s="53">
        <v>0</v>
      </c>
      <c r="J86" s="53">
        <f t="shared" si="25"/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278">
        <f t="shared" si="17"/>
        <v>1503535</v>
      </c>
    </row>
    <row r="87" spans="1:16" ht="31.5" x14ac:dyDescent="0.25">
      <c r="A87" s="202" t="s">
        <v>112</v>
      </c>
      <c r="B87" s="182" t="s">
        <v>113</v>
      </c>
      <c r="C87" s="182" t="s">
        <v>111</v>
      </c>
      <c r="D87" s="52" t="s">
        <v>114</v>
      </c>
      <c r="E87" s="277">
        <f t="shared" si="26"/>
        <v>194000</v>
      </c>
      <c r="F87" s="277">
        <f>75200+94800+24000</f>
        <v>194000</v>
      </c>
      <c r="G87" s="277">
        <v>0</v>
      </c>
      <c r="H87" s="277">
        <v>0</v>
      </c>
      <c r="I87" s="53">
        <v>0</v>
      </c>
      <c r="J87" s="53">
        <f t="shared" si="25"/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278">
        <f t="shared" si="17"/>
        <v>194000</v>
      </c>
    </row>
    <row r="88" spans="1:16" ht="47.25" x14ac:dyDescent="0.25">
      <c r="A88" s="202" t="s">
        <v>115</v>
      </c>
      <c r="B88" s="182" t="s">
        <v>116</v>
      </c>
      <c r="C88" s="182" t="s">
        <v>117</v>
      </c>
      <c r="D88" s="52" t="s">
        <v>118</v>
      </c>
      <c r="E88" s="277">
        <f t="shared" si="26"/>
        <v>21000</v>
      </c>
      <c r="F88" s="277">
        <v>21000</v>
      </c>
      <c r="G88" s="277">
        <v>0</v>
      </c>
      <c r="H88" s="277">
        <v>0</v>
      </c>
      <c r="I88" s="53">
        <v>0</v>
      </c>
      <c r="J88" s="53">
        <f t="shared" si="25"/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278">
        <f t="shared" si="17"/>
        <v>21000</v>
      </c>
    </row>
    <row r="89" spans="1:16" ht="47.25" x14ac:dyDescent="0.25">
      <c r="A89" s="202" t="s">
        <v>119</v>
      </c>
      <c r="B89" s="182" t="s">
        <v>120</v>
      </c>
      <c r="C89" s="182" t="s">
        <v>117</v>
      </c>
      <c r="D89" s="52" t="s">
        <v>121</v>
      </c>
      <c r="E89" s="277">
        <f t="shared" si="26"/>
        <v>6421331</v>
      </c>
      <c r="F89" s="277">
        <f>5737566+703834-20069</f>
        <v>6421331</v>
      </c>
      <c r="G89" s="277">
        <f>3930362+864680-60446-13298</f>
        <v>4721298</v>
      </c>
      <c r="H89" s="277">
        <v>668835</v>
      </c>
      <c r="I89" s="53">
        <v>0</v>
      </c>
      <c r="J89" s="53">
        <f t="shared" si="25"/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278">
        <f t="shared" si="17"/>
        <v>6421331</v>
      </c>
    </row>
    <row r="90" spans="1:16" ht="31.5" x14ac:dyDescent="0.25">
      <c r="A90" s="202" t="s">
        <v>486</v>
      </c>
      <c r="B90" s="182" t="s">
        <v>487</v>
      </c>
      <c r="C90" s="182" t="s">
        <v>117</v>
      </c>
      <c r="D90" s="52" t="s">
        <v>200</v>
      </c>
      <c r="E90" s="277">
        <f t="shared" si="26"/>
        <v>30174808</v>
      </c>
      <c r="F90" s="277">
        <f>23276040+6898768</f>
        <v>30174808</v>
      </c>
      <c r="G90" s="277">
        <v>0</v>
      </c>
      <c r="H90" s="277">
        <v>0</v>
      </c>
      <c r="I90" s="53">
        <v>0</v>
      </c>
      <c r="J90" s="53">
        <f t="shared" si="25"/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278">
        <f t="shared" si="17"/>
        <v>30174808</v>
      </c>
    </row>
    <row r="91" spans="1:16" ht="56.25" customHeight="1" x14ac:dyDescent="0.25">
      <c r="A91" s="202">
        <v>1015049</v>
      </c>
      <c r="B91" s="182">
        <v>5049</v>
      </c>
      <c r="C91" s="182" t="s">
        <v>117</v>
      </c>
      <c r="D91" s="307" t="s">
        <v>488</v>
      </c>
      <c r="E91" s="277">
        <f t="shared" si="26"/>
        <v>88279</v>
      </c>
      <c r="F91" s="277">
        <f>G91</f>
        <v>88279</v>
      </c>
      <c r="G91" s="277">
        <v>88279</v>
      </c>
      <c r="H91" s="277"/>
      <c r="I91" s="53"/>
      <c r="J91" s="53"/>
      <c r="K91" s="53"/>
      <c r="L91" s="53"/>
      <c r="M91" s="53"/>
      <c r="N91" s="53"/>
      <c r="O91" s="53"/>
      <c r="P91" s="278">
        <f t="shared" si="17"/>
        <v>88279</v>
      </c>
    </row>
    <row r="92" spans="1:16" ht="66" customHeight="1" x14ac:dyDescent="0.25">
      <c r="A92" s="202" t="s">
        <v>122</v>
      </c>
      <c r="B92" s="182" t="s">
        <v>123</v>
      </c>
      <c r="C92" s="182" t="s">
        <v>117</v>
      </c>
      <c r="D92" s="52" t="s">
        <v>124</v>
      </c>
      <c r="E92" s="277">
        <f t="shared" si="26"/>
        <v>4504925</v>
      </c>
      <c r="F92" s="277">
        <f>3344235+1082220+78470</f>
        <v>4504925</v>
      </c>
      <c r="G92" s="277">
        <f>2520435+554496</f>
        <v>3074931</v>
      </c>
      <c r="H92" s="277">
        <v>212659</v>
      </c>
      <c r="I92" s="53">
        <v>0</v>
      </c>
      <c r="J92" s="53">
        <f t="shared" si="25"/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278">
        <f t="shared" si="17"/>
        <v>4504925</v>
      </c>
    </row>
    <row r="93" spans="1:16" ht="63" x14ac:dyDescent="0.25">
      <c r="A93" s="202" t="s">
        <v>125</v>
      </c>
      <c r="B93" s="182" t="s">
        <v>126</v>
      </c>
      <c r="C93" s="182" t="s">
        <v>117</v>
      </c>
      <c r="D93" s="52" t="s">
        <v>127</v>
      </c>
      <c r="E93" s="277">
        <f t="shared" si="26"/>
        <v>496800</v>
      </c>
      <c r="F93" s="277">
        <f>133200+331800-129000+160800</f>
        <v>496800</v>
      </c>
      <c r="G93" s="277">
        <v>0</v>
      </c>
      <c r="H93" s="277">
        <v>0</v>
      </c>
      <c r="I93" s="53">
        <v>0</v>
      </c>
      <c r="J93" s="53">
        <f t="shared" si="25"/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278">
        <f t="shared" si="17"/>
        <v>496800</v>
      </c>
    </row>
    <row r="94" spans="1:16" ht="47.25" x14ac:dyDescent="0.25">
      <c r="A94" s="308">
        <v>1018110</v>
      </c>
      <c r="B94" s="136">
        <v>8110</v>
      </c>
      <c r="C94" s="136" t="s">
        <v>232</v>
      </c>
      <c r="D94" s="137" t="s">
        <v>236</v>
      </c>
      <c r="E94" s="285">
        <f t="shared" si="26"/>
        <v>100622</v>
      </c>
      <c r="F94" s="285">
        <f>84272+16350</f>
        <v>100622</v>
      </c>
      <c r="G94" s="285">
        <v>0</v>
      </c>
      <c r="H94" s="285">
        <v>0</v>
      </c>
      <c r="I94" s="244">
        <v>0</v>
      </c>
      <c r="J94" s="244">
        <f t="shared" si="25"/>
        <v>0</v>
      </c>
      <c r="K94" s="244">
        <v>0</v>
      </c>
      <c r="L94" s="244">
        <v>0</v>
      </c>
      <c r="M94" s="244">
        <v>0</v>
      </c>
      <c r="N94" s="244">
        <v>0</v>
      </c>
      <c r="O94" s="244">
        <v>0</v>
      </c>
      <c r="P94" s="309">
        <f t="shared" si="17"/>
        <v>100622</v>
      </c>
    </row>
    <row r="95" spans="1:16" ht="24.6" customHeight="1" thickBot="1" x14ac:dyDescent="0.3">
      <c r="A95" s="261">
        <v>1019770</v>
      </c>
      <c r="B95" s="138">
        <v>9770</v>
      </c>
      <c r="C95" s="138" t="s">
        <v>221</v>
      </c>
      <c r="D95" s="139" t="s">
        <v>237</v>
      </c>
      <c r="E95" s="284">
        <f t="shared" si="26"/>
        <v>350000</v>
      </c>
      <c r="F95" s="284">
        <v>350000</v>
      </c>
      <c r="G95" s="284">
        <v>0</v>
      </c>
      <c r="H95" s="284">
        <v>0</v>
      </c>
      <c r="I95" s="115">
        <v>0</v>
      </c>
      <c r="J95" s="115">
        <f t="shared" si="25"/>
        <v>0</v>
      </c>
      <c r="K95" s="115">
        <v>0</v>
      </c>
      <c r="L95" s="115">
        <v>0</v>
      </c>
      <c r="M95" s="115">
        <v>0</v>
      </c>
      <c r="N95" s="115">
        <v>0</v>
      </c>
      <c r="O95" s="115">
        <v>0</v>
      </c>
      <c r="P95" s="296">
        <f t="shared" si="17"/>
        <v>350000</v>
      </c>
    </row>
    <row r="96" spans="1:16" s="306" customFormat="1" ht="69.599999999999994" customHeight="1" thickBot="1" x14ac:dyDescent="0.3">
      <c r="A96" s="246" t="s">
        <v>128</v>
      </c>
      <c r="B96" s="265" t="s">
        <v>16</v>
      </c>
      <c r="C96" s="265" t="s">
        <v>16</v>
      </c>
      <c r="D96" s="266" t="s">
        <v>129</v>
      </c>
      <c r="E96" s="269">
        <f>E97</f>
        <v>53587666</v>
      </c>
      <c r="F96" s="269">
        <f>F97</f>
        <v>53587666</v>
      </c>
      <c r="G96" s="269">
        <f t="shared" ref="G96:I96" si="27">G97</f>
        <v>3212187</v>
      </c>
      <c r="H96" s="269">
        <f t="shared" si="27"/>
        <v>0</v>
      </c>
      <c r="I96" s="269">
        <f t="shared" si="27"/>
        <v>0</v>
      </c>
      <c r="J96" s="248">
        <f>J97</f>
        <v>2023594</v>
      </c>
      <c r="K96" s="269">
        <f t="shared" ref="K96:O96" si="28">K97</f>
        <v>1548794</v>
      </c>
      <c r="L96" s="269">
        <f t="shared" si="28"/>
        <v>284800</v>
      </c>
      <c r="M96" s="269">
        <f t="shared" si="28"/>
        <v>0</v>
      </c>
      <c r="N96" s="269">
        <f t="shared" si="28"/>
        <v>0</v>
      </c>
      <c r="O96" s="269">
        <f t="shared" si="28"/>
        <v>1738794</v>
      </c>
      <c r="P96" s="286">
        <f>E96+J96</f>
        <v>55611260</v>
      </c>
    </row>
    <row r="97" spans="1:16" s="289" customFormat="1" ht="59.45" customHeight="1" x14ac:dyDescent="0.25">
      <c r="A97" s="271" t="s">
        <v>489</v>
      </c>
      <c r="B97" s="272" t="s">
        <v>16</v>
      </c>
      <c r="C97" s="272" t="s">
        <v>16</v>
      </c>
      <c r="D97" s="273" t="s">
        <v>129</v>
      </c>
      <c r="E97" s="287">
        <f>E98+E99+E100+E101+E102+E103+E105</f>
        <v>53587666</v>
      </c>
      <c r="F97" s="287">
        <f>F98+F99+F100+F101+F102+F103+F105</f>
        <v>53587666</v>
      </c>
      <c r="G97" s="287">
        <f t="shared" ref="G97:I97" si="29">G98+G99+G101+G102+G103+G105</f>
        <v>3212187</v>
      </c>
      <c r="H97" s="287">
        <f t="shared" si="29"/>
        <v>0</v>
      </c>
      <c r="I97" s="287">
        <f t="shared" si="29"/>
        <v>0</v>
      </c>
      <c r="J97" s="310">
        <f>J98+J99+J101+J102+J103+J104+J105+J100</f>
        <v>2023594</v>
      </c>
      <c r="K97" s="287">
        <f>K98+K99+K101+K102+K103+K104+K105+K100</f>
        <v>1548794</v>
      </c>
      <c r="L97" s="287">
        <f t="shared" ref="L97:N97" si="30">L98+L99+L101+L102+L103+L105</f>
        <v>284800</v>
      </c>
      <c r="M97" s="287">
        <f t="shared" si="30"/>
        <v>0</v>
      </c>
      <c r="N97" s="287">
        <f t="shared" si="30"/>
        <v>0</v>
      </c>
      <c r="O97" s="287">
        <f>O98+O99+O101+O102+O103+O104+O105+O100</f>
        <v>1738794</v>
      </c>
      <c r="P97" s="288">
        <f>E97+J97</f>
        <v>55611260</v>
      </c>
    </row>
    <row r="98" spans="1:16" ht="57" customHeight="1" x14ac:dyDescent="0.25">
      <c r="A98" s="202" t="s">
        <v>490</v>
      </c>
      <c r="B98" s="182" t="s">
        <v>437</v>
      </c>
      <c r="C98" s="182" t="s">
        <v>19</v>
      </c>
      <c r="D98" s="52" t="s">
        <v>438</v>
      </c>
      <c r="E98" s="277">
        <f>F98</f>
        <v>3307308</v>
      </c>
      <c r="F98" s="277">
        <v>3307308</v>
      </c>
      <c r="G98" s="277">
        <f>2632940+579247</f>
        <v>3212187</v>
      </c>
      <c r="H98" s="277">
        <v>0</v>
      </c>
      <c r="I98" s="53">
        <v>0</v>
      </c>
      <c r="J98" s="53">
        <f>L98+O98</f>
        <v>23000</v>
      </c>
      <c r="K98" s="53">
        <f>O98</f>
        <v>23000</v>
      </c>
      <c r="L98" s="53">
        <v>0</v>
      </c>
      <c r="M98" s="53">
        <v>0</v>
      </c>
      <c r="N98" s="53">
        <v>0</v>
      </c>
      <c r="O98" s="53">
        <v>23000</v>
      </c>
      <c r="P98" s="278">
        <f t="shared" si="17"/>
        <v>3330308</v>
      </c>
    </row>
    <row r="99" spans="1:16" ht="37.9" customHeight="1" x14ac:dyDescent="0.25">
      <c r="A99" s="202" t="s">
        <v>130</v>
      </c>
      <c r="B99" s="182" t="s">
        <v>131</v>
      </c>
      <c r="C99" s="182" t="s">
        <v>132</v>
      </c>
      <c r="D99" s="52" t="s">
        <v>133</v>
      </c>
      <c r="E99" s="277">
        <f t="shared" ref="E99:E105" si="31">F99</f>
        <v>7980</v>
      </c>
      <c r="F99" s="277">
        <v>7980</v>
      </c>
      <c r="G99" s="277">
        <v>0</v>
      </c>
      <c r="H99" s="277">
        <v>0</v>
      </c>
      <c r="I99" s="53">
        <v>0</v>
      </c>
      <c r="J99" s="53">
        <f t="shared" ref="J99:J103" si="32">L99+O99</f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278">
        <f t="shared" si="17"/>
        <v>7980</v>
      </c>
    </row>
    <row r="100" spans="1:16" ht="52.15" customHeight="1" x14ac:dyDescent="0.25">
      <c r="A100" s="202">
        <v>1216012</v>
      </c>
      <c r="B100" s="182">
        <v>6012</v>
      </c>
      <c r="C100" s="138" t="s">
        <v>29</v>
      </c>
      <c r="D100" s="139" t="s">
        <v>278</v>
      </c>
      <c r="E100" s="277">
        <f t="shared" si="31"/>
        <v>7623160</v>
      </c>
      <c r="F100" s="277">
        <v>7623160</v>
      </c>
      <c r="G100" s="277"/>
      <c r="H100" s="277"/>
      <c r="I100" s="53"/>
      <c r="J100" s="53">
        <f>K100</f>
        <v>429418</v>
      </c>
      <c r="K100" s="53">
        <f>O100</f>
        <v>429418</v>
      </c>
      <c r="L100" s="53"/>
      <c r="M100" s="53"/>
      <c r="N100" s="53"/>
      <c r="O100" s="53">
        <v>429418</v>
      </c>
      <c r="P100" s="278">
        <f t="shared" si="17"/>
        <v>8052578</v>
      </c>
    </row>
    <row r="101" spans="1:16" ht="31.5" x14ac:dyDescent="0.25">
      <c r="A101" s="202" t="s">
        <v>134</v>
      </c>
      <c r="B101" s="182" t="s">
        <v>135</v>
      </c>
      <c r="C101" s="182" t="s">
        <v>29</v>
      </c>
      <c r="D101" s="52" t="s">
        <v>136</v>
      </c>
      <c r="E101" s="277">
        <f t="shared" si="31"/>
        <v>304536</v>
      </c>
      <c r="F101" s="277">
        <v>304536</v>
      </c>
      <c r="G101" s="277">
        <v>0</v>
      </c>
      <c r="H101" s="277">
        <v>0</v>
      </c>
      <c r="I101" s="53">
        <v>0</v>
      </c>
      <c r="J101" s="53">
        <f t="shared" si="32"/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278">
        <f t="shared" si="17"/>
        <v>304536</v>
      </c>
    </row>
    <row r="102" spans="1:16" ht="37.15" customHeight="1" x14ac:dyDescent="0.25">
      <c r="A102" s="202" t="s">
        <v>137</v>
      </c>
      <c r="B102" s="182" t="s">
        <v>28</v>
      </c>
      <c r="C102" s="182" t="s">
        <v>29</v>
      </c>
      <c r="D102" s="52" t="s">
        <v>30</v>
      </c>
      <c r="E102" s="277">
        <f t="shared" si="31"/>
        <v>38711160</v>
      </c>
      <c r="F102" s="277">
        <f>33931726+59165+872130+2246444+395712+81220+218667+181096+725000</f>
        <v>38711160</v>
      </c>
      <c r="G102" s="277">
        <v>0</v>
      </c>
      <c r="H102" s="277">
        <v>0</v>
      </c>
      <c r="I102" s="53">
        <v>0</v>
      </c>
      <c r="J102" s="53">
        <f t="shared" si="32"/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278">
        <f t="shared" si="17"/>
        <v>38711160</v>
      </c>
    </row>
    <row r="103" spans="1:16" ht="54" customHeight="1" x14ac:dyDescent="0.25">
      <c r="A103" s="202" t="s">
        <v>138</v>
      </c>
      <c r="B103" s="182" t="s">
        <v>139</v>
      </c>
      <c r="C103" s="182" t="s">
        <v>140</v>
      </c>
      <c r="D103" s="52" t="s">
        <v>141</v>
      </c>
      <c r="E103" s="277">
        <f t="shared" si="31"/>
        <v>3633522</v>
      </c>
      <c r="F103" s="277">
        <f>1799030+533946+154083+1146463</f>
        <v>3633522</v>
      </c>
      <c r="G103" s="277">
        <v>0</v>
      </c>
      <c r="H103" s="277">
        <v>0</v>
      </c>
      <c r="I103" s="53">
        <v>0</v>
      </c>
      <c r="J103" s="53">
        <f t="shared" si="32"/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278">
        <f t="shared" si="17"/>
        <v>3633522</v>
      </c>
    </row>
    <row r="104" spans="1:16" ht="27.75" customHeight="1" x14ac:dyDescent="0.25">
      <c r="A104" s="151" t="s">
        <v>243</v>
      </c>
      <c r="B104" s="138" t="s">
        <v>244</v>
      </c>
      <c r="C104" s="138" t="s">
        <v>245</v>
      </c>
      <c r="D104" s="311" t="s">
        <v>246</v>
      </c>
      <c r="E104" s="284">
        <f t="shared" si="31"/>
        <v>0</v>
      </c>
      <c r="F104" s="284">
        <v>0</v>
      </c>
      <c r="G104" s="284">
        <v>0</v>
      </c>
      <c r="H104" s="284">
        <v>0</v>
      </c>
      <c r="I104" s="115">
        <v>0</v>
      </c>
      <c r="J104" s="53">
        <f>L104+O104</f>
        <v>1096376</v>
      </c>
      <c r="K104" s="115">
        <f>O104</f>
        <v>1096376</v>
      </c>
      <c r="L104" s="115"/>
      <c r="M104" s="115"/>
      <c r="N104" s="115"/>
      <c r="O104" s="115">
        <v>1096376</v>
      </c>
      <c r="P104" s="278">
        <f t="shared" si="17"/>
        <v>1096376</v>
      </c>
    </row>
    <row r="105" spans="1:16" ht="35.450000000000003" customHeight="1" thickBot="1" x14ac:dyDescent="0.3">
      <c r="A105" s="261" t="s">
        <v>142</v>
      </c>
      <c r="B105" s="262" t="s">
        <v>143</v>
      </c>
      <c r="C105" s="262" t="s">
        <v>144</v>
      </c>
      <c r="D105" s="94" t="s">
        <v>145</v>
      </c>
      <c r="E105" s="284">
        <f t="shared" si="31"/>
        <v>0</v>
      </c>
      <c r="F105" s="284">
        <v>0</v>
      </c>
      <c r="G105" s="284">
        <v>0</v>
      </c>
      <c r="H105" s="284">
        <v>0</v>
      </c>
      <c r="I105" s="115">
        <v>0</v>
      </c>
      <c r="J105" s="53">
        <f>L105+O105</f>
        <v>474800</v>
      </c>
      <c r="K105" s="115">
        <v>0</v>
      </c>
      <c r="L105" s="115">
        <v>284800</v>
      </c>
      <c r="M105" s="115">
        <v>0</v>
      </c>
      <c r="N105" s="115">
        <v>0</v>
      </c>
      <c r="O105" s="115">
        <v>190000</v>
      </c>
      <c r="P105" s="296">
        <f t="shared" si="17"/>
        <v>474800</v>
      </c>
    </row>
    <row r="106" spans="1:16" s="306" customFormat="1" ht="55.15" customHeight="1" thickBot="1" x14ac:dyDescent="0.3">
      <c r="A106" s="246" t="s">
        <v>146</v>
      </c>
      <c r="B106" s="265" t="s">
        <v>16</v>
      </c>
      <c r="C106" s="265" t="s">
        <v>16</v>
      </c>
      <c r="D106" s="266" t="s">
        <v>147</v>
      </c>
      <c r="E106" s="269">
        <f>E107</f>
        <v>2724181</v>
      </c>
      <c r="F106" s="269">
        <f>E106</f>
        <v>2724181</v>
      </c>
      <c r="G106" s="269">
        <f>G107</f>
        <v>2537382</v>
      </c>
      <c r="H106" s="269">
        <f t="shared" ref="H106:I106" si="33">H107</f>
        <v>79018</v>
      </c>
      <c r="I106" s="269">
        <f t="shared" si="33"/>
        <v>0</v>
      </c>
      <c r="J106" s="269">
        <f>J107</f>
        <v>94852409</v>
      </c>
      <c r="K106" s="269">
        <f>K107</f>
        <v>94852409</v>
      </c>
      <c r="L106" s="269">
        <f t="shared" ref="L106:O106" si="34">L107</f>
        <v>0</v>
      </c>
      <c r="M106" s="269">
        <f t="shared" si="34"/>
        <v>0</v>
      </c>
      <c r="N106" s="269">
        <f t="shared" si="34"/>
        <v>0</v>
      </c>
      <c r="O106" s="269">
        <f t="shared" si="34"/>
        <v>94852409</v>
      </c>
      <c r="P106" s="286">
        <f>E106+J106</f>
        <v>97576590</v>
      </c>
    </row>
    <row r="107" spans="1:16" s="289" customFormat="1" ht="52.15" customHeight="1" x14ac:dyDescent="0.25">
      <c r="A107" s="271" t="s">
        <v>491</v>
      </c>
      <c r="B107" s="272" t="s">
        <v>16</v>
      </c>
      <c r="C107" s="272" t="s">
        <v>16</v>
      </c>
      <c r="D107" s="273" t="s">
        <v>147</v>
      </c>
      <c r="E107" s="287">
        <f>E108+E110+E119</f>
        <v>2724181</v>
      </c>
      <c r="F107" s="287">
        <f>F108+F110+F119+F113</f>
        <v>2724181</v>
      </c>
      <c r="G107" s="287">
        <f t="shared" ref="G107:I107" si="35">G108+G110+G119</f>
        <v>2537382</v>
      </c>
      <c r="H107" s="287">
        <f t="shared" si="35"/>
        <v>79018</v>
      </c>
      <c r="I107" s="287">
        <f t="shared" si="35"/>
        <v>0</v>
      </c>
      <c r="J107" s="287">
        <f>J108+J109+J110+J111+J112+J114+J115+J116+J118+J119+J120+J121+J113+J117</f>
        <v>94852409</v>
      </c>
      <c r="K107" s="287">
        <f>K108+K109+K110+K111+K112+K114+K115+K116+K118+K119+K120+K121+K113+K117</f>
        <v>94852409</v>
      </c>
      <c r="L107" s="287">
        <f t="shared" ref="L107:N107" si="36">L108+L109+L110+L111+L112+L114+L115+L116+L118+L119+L120+L121</f>
        <v>0</v>
      </c>
      <c r="M107" s="287">
        <f t="shared" si="36"/>
        <v>0</v>
      </c>
      <c r="N107" s="287">
        <f t="shared" si="36"/>
        <v>0</v>
      </c>
      <c r="O107" s="287">
        <f>O108+O109+O110+O111+O112+O114+O115+O116+O118+O119+O120+O121+O113+O117</f>
        <v>94852409</v>
      </c>
      <c r="P107" s="288">
        <f>E107+J107</f>
        <v>97576590</v>
      </c>
    </row>
    <row r="108" spans="1:16" ht="59.45" customHeight="1" x14ac:dyDescent="0.25">
      <c r="A108" s="202" t="s">
        <v>492</v>
      </c>
      <c r="B108" s="182" t="s">
        <v>437</v>
      </c>
      <c r="C108" s="182" t="s">
        <v>19</v>
      </c>
      <c r="D108" s="52" t="s">
        <v>438</v>
      </c>
      <c r="E108" s="277">
        <f>F108+I108</f>
        <v>2724181</v>
      </c>
      <c r="F108" s="277">
        <v>2724181</v>
      </c>
      <c r="G108" s="277">
        <f>2093847+460646-14026-3085</f>
        <v>2537382</v>
      </c>
      <c r="H108" s="277">
        <v>79018</v>
      </c>
      <c r="I108" s="53">
        <v>0</v>
      </c>
      <c r="J108" s="53">
        <f>L108+O108</f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278">
        <f t="shared" si="17"/>
        <v>2724181</v>
      </c>
    </row>
    <row r="109" spans="1:16" ht="27" customHeight="1" x14ac:dyDescent="0.25">
      <c r="A109" s="202">
        <v>1511010</v>
      </c>
      <c r="B109" s="182" t="s">
        <v>47</v>
      </c>
      <c r="C109" s="182" t="s">
        <v>48</v>
      </c>
      <c r="D109" s="52" t="s">
        <v>49</v>
      </c>
      <c r="E109" s="277">
        <f t="shared" ref="E109:E121" si="37">F109+I109</f>
        <v>0</v>
      </c>
      <c r="F109" s="277">
        <v>0</v>
      </c>
      <c r="G109" s="277">
        <v>0</v>
      </c>
      <c r="H109" s="277">
        <v>0</v>
      </c>
      <c r="I109" s="53">
        <v>0</v>
      </c>
      <c r="J109" s="53">
        <f t="shared" ref="J109:J121" si="38">L109+O109</f>
        <v>7072400</v>
      </c>
      <c r="K109" s="53">
        <f>O109</f>
        <v>7072400</v>
      </c>
      <c r="L109" s="53">
        <v>0</v>
      </c>
      <c r="M109" s="53">
        <v>0</v>
      </c>
      <c r="N109" s="53">
        <v>0</v>
      </c>
      <c r="O109" s="53">
        <f>4694110+1317092+38448+2981628-1958878</f>
        <v>7072400</v>
      </c>
      <c r="P109" s="278">
        <f t="shared" si="17"/>
        <v>7072400</v>
      </c>
    </row>
    <row r="110" spans="1:16" ht="54.6" customHeight="1" x14ac:dyDescent="0.25">
      <c r="A110" s="202" t="s">
        <v>170</v>
      </c>
      <c r="B110" s="182" t="s">
        <v>51</v>
      </c>
      <c r="C110" s="182" t="s">
        <v>52</v>
      </c>
      <c r="D110" s="52" t="s">
        <v>230</v>
      </c>
      <c r="E110" s="277">
        <f t="shared" si="37"/>
        <v>0</v>
      </c>
      <c r="F110" s="277">
        <v>0</v>
      </c>
      <c r="G110" s="277">
        <v>0</v>
      </c>
      <c r="H110" s="277">
        <v>0</v>
      </c>
      <c r="I110" s="53">
        <v>0</v>
      </c>
      <c r="J110" s="53">
        <f t="shared" si="38"/>
        <v>15986428</v>
      </c>
      <c r="K110" s="53">
        <f t="shared" ref="K110:K121" si="39">O110</f>
        <v>15986428</v>
      </c>
      <c r="L110" s="53">
        <v>0</v>
      </c>
      <c r="M110" s="53">
        <v>0</v>
      </c>
      <c r="N110" s="53">
        <v>0</v>
      </c>
      <c r="O110" s="53">
        <f>6202186+6588451+2012776-2000000+100000+2995783+154318+38448+316208+200000+4615237+136522+1703165-1086770-4615237-1374659</f>
        <v>15986428</v>
      </c>
      <c r="P110" s="278">
        <f t="shared" si="17"/>
        <v>15986428</v>
      </c>
    </row>
    <row r="111" spans="1:16" ht="31.5" x14ac:dyDescent="0.25">
      <c r="A111" s="151" t="s">
        <v>247</v>
      </c>
      <c r="B111" s="138" t="s">
        <v>21</v>
      </c>
      <c r="C111" s="138" t="s">
        <v>22</v>
      </c>
      <c r="D111" s="139" t="s">
        <v>23</v>
      </c>
      <c r="E111" s="277">
        <f t="shared" si="37"/>
        <v>0</v>
      </c>
      <c r="F111" s="277">
        <v>0</v>
      </c>
      <c r="G111" s="277">
        <v>0</v>
      </c>
      <c r="H111" s="277">
        <v>0</v>
      </c>
      <c r="I111" s="53">
        <v>0</v>
      </c>
      <c r="J111" s="53">
        <f t="shared" si="38"/>
        <v>1894090</v>
      </c>
      <c r="K111" s="53">
        <f t="shared" si="39"/>
        <v>1894090</v>
      </c>
      <c r="L111" s="53">
        <v>0</v>
      </c>
      <c r="M111" s="53">
        <v>0</v>
      </c>
      <c r="N111" s="53">
        <v>0</v>
      </c>
      <c r="O111" s="115">
        <f>103135+509663+1281292</f>
        <v>1894090</v>
      </c>
      <c r="P111" s="278">
        <f t="shared" si="17"/>
        <v>1894090</v>
      </c>
    </row>
    <row r="112" spans="1:16" ht="47.25" x14ac:dyDescent="0.25">
      <c r="A112" s="151" t="s">
        <v>248</v>
      </c>
      <c r="B112" s="138" t="s">
        <v>108</v>
      </c>
      <c r="C112" s="138" t="s">
        <v>109</v>
      </c>
      <c r="D112" s="139" t="s">
        <v>249</v>
      </c>
      <c r="E112" s="277">
        <f t="shared" si="37"/>
        <v>0</v>
      </c>
      <c r="F112" s="277">
        <v>0</v>
      </c>
      <c r="G112" s="277">
        <v>0</v>
      </c>
      <c r="H112" s="277">
        <v>0</v>
      </c>
      <c r="I112" s="53">
        <v>0</v>
      </c>
      <c r="J112" s="53">
        <f t="shared" si="38"/>
        <v>4232185</v>
      </c>
      <c r="K112" s="53">
        <f t="shared" si="39"/>
        <v>4232185</v>
      </c>
      <c r="L112" s="53">
        <v>0</v>
      </c>
      <c r="M112" s="53">
        <v>0</v>
      </c>
      <c r="N112" s="53">
        <v>0</v>
      </c>
      <c r="O112" s="115">
        <f>385436+6065841+136749-2355841</f>
        <v>4232185</v>
      </c>
      <c r="P112" s="278">
        <f t="shared" si="17"/>
        <v>4232185</v>
      </c>
    </row>
    <row r="113" spans="1:16" ht="47.25" x14ac:dyDescent="0.25">
      <c r="A113" s="151" t="s">
        <v>493</v>
      </c>
      <c r="B113" s="132" t="s">
        <v>279</v>
      </c>
      <c r="C113" s="132" t="s">
        <v>29</v>
      </c>
      <c r="D113" s="133" t="s">
        <v>278</v>
      </c>
      <c r="E113" s="277"/>
      <c r="F113" s="277"/>
      <c r="G113" s="277"/>
      <c r="H113" s="277"/>
      <c r="I113" s="53"/>
      <c r="J113" s="53">
        <f t="shared" si="38"/>
        <v>10088682</v>
      </c>
      <c r="K113" s="53">
        <f t="shared" si="39"/>
        <v>10088682</v>
      </c>
      <c r="L113" s="53"/>
      <c r="M113" s="53"/>
      <c r="N113" s="53"/>
      <c r="O113" s="53">
        <f>7702800+112000+2235052+216960-178130</f>
        <v>10088682</v>
      </c>
      <c r="P113" s="278">
        <f t="shared" si="17"/>
        <v>10088682</v>
      </c>
    </row>
    <row r="114" spans="1:16" ht="31.5" x14ac:dyDescent="0.25">
      <c r="A114" s="151" t="s">
        <v>276</v>
      </c>
      <c r="B114" s="138" t="s">
        <v>135</v>
      </c>
      <c r="C114" s="138" t="s">
        <v>29</v>
      </c>
      <c r="D114" s="139" t="s">
        <v>136</v>
      </c>
      <c r="E114" s="277"/>
      <c r="F114" s="277"/>
      <c r="G114" s="277"/>
      <c r="H114" s="277"/>
      <c r="I114" s="53"/>
      <c r="J114" s="53">
        <f>O114</f>
        <v>710392</v>
      </c>
      <c r="K114" s="53">
        <f t="shared" si="39"/>
        <v>710392</v>
      </c>
      <c r="L114" s="53"/>
      <c r="M114" s="53"/>
      <c r="N114" s="53"/>
      <c r="O114" s="115">
        <f>213272+497120</f>
        <v>710392</v>
      </c>
      <c r="P114" s="278">
        <f t="shared" si="17"/>
        <v>710392</v>
      </c>
    </row>
    <row r="115" spans="1:16" ht="31.5" x14ac:dyDescent="0.25">
      <c r="A115" s="151" t="s">
        <v>250</v>
      </c>
      <c r="B115" s="138" t="s">
        <v>28</v>
      </c>
      <c r="C115" s="138" t="s">
        <v>29</v>
      </c>
      <c r="D115" s="139" t="s">
        <v>30</v>
      </c>
      <c r="E115" s="277">
        <f t="shared" si="37"/>
        <v>0</v>
      </c>
      <c r="F115" s="277">
        <v>0</v>
      </c>
      <c r="G115" s="277">
        <v>0</v>
      </c>
      <c r="H115" s="277">
        <v>0</v>
      </c>
      <c r="I115" s="53">
        <v>0</v>
      </c>
      <c r="J115" s="53">
        <f t="shared" si="38"/>
        <v>18087747</v>
      </c>
      <c r="K115" s="53">
        <f t="shared" si="39"/>
        <v>18087747</v>
      </c>
      <c r="L115" s="53">
        <v>0</v>
      </c>
      <c r="M115" s="53">
        <v>0</v>
      </c>
      <c r="N115" s="53">
        <v>0</v>
      </c>
      <c r="O115" s="115">
        <f>8403808+2127676+1495530+1644000+36203+36659+156690+236657+337000+8248242+678421+101276+133360-4300000-236657-1011118</f>
        <v>18087747</v>
      </c>
      <c r="P115" s="278">
        <f t="shared" si="17"/>
        <v>18087747</v>
      </c>
    </row>
    <row r="116" spans="1:16" ht="27" customHeight="1" x14ac:dyDescent="0.25">
      <c r="A116" s="151" t="s">
        <v>251</v>
      </c>
      <c r="B116" s="138" t="s">
        <v>252</v>
      </c>
      <c r="C116" s="138" t="s">
        <v>148</v>
      </c>
      <c r="D116" s="139" t="s">
        <v>253</v>
      </c>
      <c r="E116" s="277">
        <f t="shared" si="37"/>
        <v>0</v>
      </c>
      <c r="F116" s="277">
        <v>0</v>
      </c>
      <c r="G116" s="277">
        <v>0</v>
      </c>
      <c r="H116" s="277">
        <v>0</v>
      </c>
      <c r="I116" s="53">
        <v>0</v>
      </c>
      <c r="J116" s="53">
        <f t="shared" si="38"/>
        <v>307755</v>
      </c>
      <c r="K116" s="53">
        <f t="shared" si="39"/>
        <v>307755</v>
      </c>
      <c r="L116" s="53">
        <v>0</v>
      </c>
      <c r="M116" s="53">
        <v>0</v>
      </c>
      <c r="N116" s="53">
        <v>0</v>
      </c>
      <c r="O116" s="115">
        <v>307755</v>
      </c>
      <c r="P116" s="278">
        <f t="shared" si="17"/>
        <v>307755</v>
      </c>
    </row>
    <row r="117" spans="1:16" ht="31.5" x14ac:dyDescent="0.25">
      <c r="A117" s="151" t="s">
        <v>289</v>
      </c>
      <c r="B117" s="138" t="s">
        <v>290</v>
      </c>
      <c r="C117" s="138" t="s">
        <v>148</v>
      </c>
      <c r="D117" s="139" t="s">
        <v>291</v>
      </c>
      <c r="E117" s="277"/>
      <c r="F117" s="277"/>
      <c r="G117" s="277"/>
      <c r="H117" s="277"/>
      <c r="I117" s="53"/>
      <c r="J117" s="53">
        <f t="shared" si="38"/>
        <v>5844500</v>
      </c>
      <c r="K117" s="53">
        <f t="shared" si="39"/>
        <v>5844500</v>
      </c>
      <c r="L117" s="53"/>
      <c r="M117" s="53"/>
      <c r="N117" s="53"/>
      <c r="O117" s="115">
        <f>3323992+2520508</f>
        <v>5844500</v>
      </c>
      <c r="P117" s="278">
        <f t="shared" si="17"/>
        <v>5844500</v>
      </c>
    </row>
    <row r="118" spans="1:16" ht="31.5" x14ac:dyDescent="0.25">
      <c r="A118" s="151" t="s">
        <v>254</v>
      </c>
      <c r="B118" s="138" t="s">
        <v>255</v>
      </c>
      <c r="C118" s="138" t="s">
        <v>148</v>
      </c>
      <c r="D118" s="139" t="s">
        <v>256</v>
      </c>
      <c r="E118" s="277">
        <f t="shared" si="37"/>
        <v>0</v>
      </c>
      <c r="F118" s="277">
        <v>0</v>
      </c>
      <c r="G118" s="277">
        <v>0</v>
      </c>
      <c r="H118" s="277">
        <v>0</v>
      </c>
      <c r="I118" s="53">
        <v>0</v>
      </c>
      <c r="J118" s="53">
        <f t="shared" si="38"/>
        <v>1562552</v>
      </c>
      <c r="K118" s="53">
        <f t="shared" si="39"/>
        <v>1562552</v>
      </c>
      <c r="L118" s="53">
        <v>0</v>
      </c>
      <c r="M118" s="53">
        <v>0</v>
      </c>
      <c r="N118" s="53">
        <v>0</v>
      </c>
      <c r="O118" s="115">
        <f>1865034-302482</f>
        <v>1562552</v>
      </c>
      <c r="P118" s="278">
        <f t="shared" si="17"/>
        <v>1562552</v>
      </c>
    </row>
    <row r="119" spans="1:16" ht="31.5" x14ac:dyDescent="0.25">
      <c r="A119" s="261" t="s">
        <v>149</v>
      </c>
      <c r="B119" s="262" t="s">
        <v>150</v>
      </c>
      <c r="C119" s="262" t="s">
        <v>148</v>
      </c>
      <c r="D119" s="94" t="s">
        <v>151</v>
      </c>
      <c r="E119" s="284">
        <f t="shared" si="37"/>
        <v>0</v>
      </c>
      <c r="F119" s="284">
        <v>0</v>
      </c>
      <c r="G119" s="284">
        <v>0</v>
      </c>
      <c r="H119" s="284">
        <v>0</v>
      </c>
      <c r="I119" s="115">
        <v>0</v>
      </c>
      <c r="J119" s="115">
        <f t="shared" si="38"/>
        <v>12732699</v>
      </c>
      <c r="K119" s="53">
        <f t="shared" si="39"/>
        <v>12732699</v>
      </c>
      <c r="L119" s="115">
        <v>0</v>
      </c>
      <c r="M119" s="115">
        <v>0</v>
      </c>
      <c r="N119" s="115">
        <v>0</v>
      </c>
      <c r="O119" s="115">
        <f>2724014+196092+170000+9642593</f>
        <v>12732699</v>
      </c>
      <c r="P119" s="296">
        <f t="shared" si="17"/>
        <v>12732699</v>
      </c>
    </row>
    <row r="120" spans="1:16" ht="47.25" x14ac:dyDescent="0.25">
      <c r="A120" s="279" t="s">
        <v>257</v>
      </c>
      <c r="B120" s="132" t="s">
        <v>139</v>
      </c>
      <c r="C120" s="132" t="s">
        <v>140</v>
      </c>
      <c r="D120" s="133" t="s">
        <v>141</v>
      </c>
      <c r="E120" s="277">
        <f t="shared" si="37"/>
        <v>0</v>
      </c>
      <c r="F120" s="277">
        <v>0</v>
      </c>
      <c r="G120" s="277">
        <v>0</v>
      </c>
      <c r="H120" s="277">
        <v>0</v>
      </c>
      <c r="I120" s="53">
        <v>0</v>
      </c>
      <c r="J120" s="53">
        <f t="shared" si="38"/>
        <v>14302901</v>
      </c>
      <c r="K120" s="53">
        <f t="shared" si="39"/>
        <v>14302901</v>
      </c>
      <c r="L120" s="53">
        <v>0</v>
      </c>
      <c r="M120" s="53">
        <v>0</v>
      </c>
      <c r="N120" s="53">
        <v>0</v>
      </c>
      <c r="O120" s="53">
        <f>4443182+200000+14000000-14200000+751850-907522-395910+382628+10000000+28673</f>
        <v>14302901</v>
      </c>
      <c r="P120" s="278">
        <f t="shared" si="17"/>
        <v>14302901</v>
      </c>
    </row>
    <row r="121" spans="1:16" ht="32.25" thickBot="1" x14ac:dyDescent="0.3">
      <c r="A121" s="151" t="s">
        <v>258</v>
      </c>
      <c r="B121" s="138" t="s">
        <v>238</v>
      </c>
      <c r="C121" s="138" t="s">
        <v>217</v>
      </c>
      <c r="D121" s="139" t="s">
        <v>259</v>
      </c>
      <c r="E121" s="284">
        <f t="shared" si="37"/>
        <v>0</v>
      </c>
      <c r="F121" s="284">
        <v>0</v>
      </c>
      <c r="G121" s="284">
        <v>0</v>
      </c>
      <c r="H121" s="284">
        <v>0</v>
      </c>
      <c r="I121" s="115">
        <v>0</v>
      </c>
      <c r="J121" s="115">
        <f t="shared" si="38"/>
        <v>2030078</v>
      </c>
      <c r="K121" s="115">
        <f t="shared" si="39"/>
        <v>2030078</v>
      </c>
      <c r="L121" s="115">
        <v>0</v>
      </c>
      <c r="M121" s="115">
        <v>0</v>
      </c>
      <c r="N121" s="115">
        <v>0</v>
      </c>
      <c r="O121" s="115">
        <f>468060+782460+779558</f>
        <v>2030078</v>
      </c>
      <c r="P121" s="296">
        <f t="shared" si="17"/>
        <v>2030078</v>
      </c>
    </row>
    <row r="122" spans="1:16" s="306" customFormat="1" ht="51.75" customHeight="1" thickBot="1" x14ac:dyDescent="0.3">
      <c r="A122" s="246" t="s">
        <v>494</v>
      </c>
      <c r="B122" s="265" t="s">
        <v>16</v>
      </c>
      <c r="C122" s="265" t="s">
        <v>16</v>
      </c>
      <c r="D122" s="266" t="s">
        <v>218</v>
      </c>
      <c r="E122" s="269">
        <f>E123</f>
        <v>3322510</v>
      </c>
      <c r="F122" s="269">
        <f t="shared" ref="F122:I122" si="40">F123</f>
        <v>3322510</v>
      </c>
      <c r="G122" s="269">
        <f t="shared" si="40"/>
        <v>3135882</v>
      </c>
      <c r="H122" s="269">
        <f t="shared" si="40"/>
        <v>0</v>
      </c>
      <c r="I122" s="269">
        <f t="shared" si="40"/>
        <v>0</v>
      </c>
      <c r="J122" s="269">
        <f>J123</f>
        <v>10025000</v>
      </c>
      <c r="K122" s="269">
        <f>K123</f>
        <v>10025000</v>
      </c>
      <c r="L122" s="269">
        <f t="shared" ref="L122:O123" si="41">L123</f>
        <v>0</v>
      </c>
      <c r="M122" s="269">
        <f t="shared" si="41"/>
        <v>0</v>
      </c>
      <c r="N122" s="269">
        <f t="shared" si="41"/>
        <v>0</v>
      </c>
      <c r="O122" s="269">
        <f t="shared" si="41"/>
        <v>10025000</v>
      </c>
      <c r="P122" s="286">
        <f>E122+J122</f>
        <v>13347510</v>
      </c>
    </row>
    <row r="123" spans="1:16" s="289" customFormat="1" ht="63" x14ac:dyDescent="0.25">
      <c r="A123" s="271" t="s">
        <v>495</v>
      </c>
      <c r="B123" s="272" t="s">
        <v>16</v>
      </c>
      <c r="C123" s="272" t="s">
        <v>16</v>
      </c>
      <c r="D123" s="273" t="s">
        <v>218</v>
      </c>
      <c r="E123" s="287">
        <f>E124</f>
        <v>3322510</v>
      </c>
      <c r="F123" s="287">
        <f>F124</f>
        <v>3322510</v>
      </c>
      <c r="G123" s="287">
        <f>G124</f>
        <v>3135882</v>
      </c>
      <c r="H123" s="287">
        <f>H124</f>
        <v>0</v>
      </c>
      <c r="I123" s="310">
        <f>I124</f>
        <v>0</v>
      </c>
      <c r="J123" s="287">
        <f>J124+J125</f>
        <v>10025000</v>
      </c>
      <c r="K123" s="287">
        <f>K124+K125</f>
        <v>10025000</v>
      </c>
      <c r="L123" s="287">
        <f t="shared" si="41"/>
        <v>0</v>
      </c>
      <c r="M123" s="287">
        <f t="shared" si="41"/>
        <v>0</v>
      </c>
      <c r="N123" s="287">
        <f t="shared" si="41"/>
        <v>0</v>
      </c>
      <c r="O123" s="287">
        <f>O124+O125</f>
        <v>10025000</v>
      </c>
      <c r="P123" s="288">
        <f>E123+J123</f>
        <v>13347510</v>
      </c>
    </row>
    <row r="124" spans="1:16" ht="47.25" x14ac:dyDescent="0.25">
      <c r="A124" s="202" t="s">
        <v>496</v>
      </c>
      <c r="B124" s="182" t="s">
        <v>437</v>
      </c>
      <c r="C124" s="182" t="s">
        <v>19</v>
      </c>
      <c r="D124" s="52" t="s">
        <v>438</v>
      </c>
      <c r="E124" s="277">
        <f>F124+I124</f>
        <v>3322510</v>
      </c>
      <c r="F124" s="277">
        <v>3322510</v>
      </c>
      <c r="G124" s="277">
        <f>2570395+565487</f>
        <v>3135882</v>
      </c>
      <c r="H124" s="277">
        <v>0</v>
      </c>
      <c r="I124" s="53">
        <v>0</v>
      </c>
      <c r="J124" s="53">
        <f>K124+O124</f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278">
        <f t="shared" si="17"/>
        <v>3322510</v>
      </c>
    </row>
    <row r="125" spans="1:16" ht="48" thickBot="1" x14ac:dyDescent="0.3">
      <c r="A125" s="261">
        <v>1617351</v>
      </c>
      <c r="B125" s="262">
        <v>7351</v>
      </c>
      <c r="C125" s="138" t="s">
        <v>148</v>
      </c>
      <c r="D125" s="94" t="s">
        <v>284</v>
      </c>
      <c r="E125" s="284"/>
      <c r="F125" s="284"/>
      <c r="G125" s="284"/>
      <c r="H125" s="284"/>
      <c r="I125" s="115"/>
      <c r="J125" s="115">
        <f>K125</f>
        <v>10025000</v>
      </c>
      <c r="K125" s="115">
        <f>O125</f>
        <v>10025000</v>
      </c>
      <c r="L125" s="115"/>
      <c r="M125" s="115"/>
      <c r="N125" s="115"/>
      <c r="O125" s="115">
        <v>10025000</v>
      </c>
      <c r="P125" s="296">
        <f t="shared" si="17"/>
        <v>10025000</v>
      </c>
    </row>
    <row r="126" spans="1:16" s="306" customFormat="1" ht="56.45" customHeight="1" thickBot="1" x14ac:dyDescent="0.3">
      <c r="A126" s="246" t="s">
        <v>497</v>
      </c>
      <c r="B126" s="265" t="s">
        <v>16</v>
      </c>
      <c r="C126" s="265" t="s">
        <v>16</v>
      </c>
      <c r="D126" s="266" t="s">
        <v>219</v>
      </c>
      <c r="E126" s="269">
        <f>E127</f>
        <v>28337950</v>
      </c>
      <c r="F126" s="269">
        <f>F127</f>
        <v>28337950</v>
      </c>
      <c r="G126" s="269">
        <f t="shared" ref="G126:I127" si="42">G127</f>
        <v>3221565</v>
      </c>
      <c r="H126" s="269">
        <f t="shared" si="42"/>
        <v>0</v>
      </c>
      <c r="I126" s="269">
        <f t="shared" si="42"/>
        <v>0</v>
      </c>
      <c r="J126" s="248">
        <f>J127</f>
        <v>0</v>
      </c>
      <c r="K126" s="248">
        <f>K127</f>
        <v>0</v>
      </c>
      <c r="L126" s="248">
        <f t="shared" ref="L126:O127" si="43">L127</f>
        <v>0</v>
      </c>
      <c r="M126" s="248">
        <f t="shared" si="43"/>
        <v>0</v>
      </c>
      <c r="N126" s="248">
        <f t="shared" si="43"/>
        <v>0</v>
      </c>
      <c r="O126" s="248">
        <f t="shared" si="43"/>
        <v>0</v>
      </c>
      <c r="P126" s="286">
        <f>E126+J126</f>
        <v>28337950</v>
      </c>
    </row>
    <row r="127" spans="1:16" s="289" customFormat="1" ht="47.25" x14ac:dyDescent="0.25">
      <c r="A127" s="271" t="s">
        <v>498</v>
      </c>
      <c r="B127" s="272" t="s">
        <v>16</v>
      </c>
      <c r="C127" s="272" t="s">
        <v>16</v>
      </c>
      <c r="D127" s="273" t="s">
        <v>219</v>
      </c>
      <c r="E127" s="287">
        <f>E128+E129</f>
        <v>28337950</v>
      </c>
      <c r="F127" s="287">
        <f>F128+F129</f>
        <v>28337950</v>
      </c>
      <c r="G127" s="287">
        <f t="shared" si="42"/>
        <v>3221565</v>
      </c>
      <c r="H127" s="287">
        <f t="shared" si="42"/>
        <v>0</v>
      </c>
      <c r="I127" s="287">
        <f t="shared" si="42"/>
        <v>0</v>
      </c>
      <c r="J127" s="310">
        <f>J128</f>
        <v>0</v>
      </c>
      <c r="K127" s="310">
        <f>K128</f>
        <v>0</v>
      </c>
      <c r="L127" s="310">
        <f t="shared" si="43"/>
        <v>0</v>
      </c>
      <c r="M127" s="310">
        <f t="shared" si="43"/>
        <v>0</v>
      </c>
      <c r="N127" s="310">
        <f t="shared" si="43"/>
        <v>0</v>
      </c>
      <c r="O127" s="310">
        <f t="shared" si="43"/>
        <v>0</v>
      </c>
      <c r="P127" s="288">
        <f>E127+J127</f>
        <v>28337950</v>
      </c>
    </row>
    <row r="128" spans="1:16" ht="55.9" customHeight="1" x14ac:dyDescent="0.25">
      <c r="A128" s="261" t="s">
        <v>499</v>
      </c>
      <c r="B128" s="262" t="s">
        <v>437</v>
      </c>
      <c r="C128" s="262" t="s">
        <v>19</v>
      </c>
      <c r="D128" s="94" t="s">
        <v>438</v>
      </c>
      <c r="E128" s="284">
        <f>F128+I128</f>
        <v>3337950</v>
      </c>
      <c r="F128" s="284">
        <v>3337950</v>
      </c>
      <c r="G128" s="284">
        <f>2646196+582164-6795</f>
        <v>3221565</v>
      </c>
      <c r="H128" s="284">
        <v>0</v>
      </c>
      <c r="I128" s="115">
        <v>0</v>
      </c>
      <c r="J128" s="115">
        <f>K128+O128</f>
        <v>0</v>
      </c>
      <c r="K128" s="115">
        <v>0</v>
      </c>
      <c r="L128" s="115">
        <v>0</v>
      </c>
      <c r="M128" s="115">
        <v>0</v>
      </c>
      <c r="N128" s="115">
        <v>0</v>
      </c>
      <c r="O128" s="115">
        <v>0</v>
      </c>
      <c r="P128" s="296">
        <f t="shared" si="17"/>
        <v>3337950</v>
      </c>
    </row>
    <row r="129" spans="1:16" ht="16.5" thickBot="1" x14ac:dyDescent="0.3">
      <c r="A129" s="151" t="s">
        <v>666</v>
      </c>
      <c r="B129" s="132">
        <v>9770</v>
      </c>
      <c r="C129" s="132" t="s">
        <v>221</v>
      </c>
      <c r="D129" s="133" t="s">
        <v>237</v>
      </c>
      <c r="E129" s="284">
        <f>F129+I129</f>
        <v>25000000</v>
      </c>
      <c r="F129" s="303">
        <v>25000000</v>
      </c>
      <c r="G129" s="303"/>
      <c r="H129" s="303"/>
      <c r="I129" s="304"/>
      <c r="J129" s="304"/>
      <c r="K129" s="304"/>
      <c r="L129" s="304"/>
      <c r="M129" s="304"/>
      <c r="N129" s="304"/>
      <c r="O129" s="304"/>
      <c r="P129" s="305">
        <f t="shared" si="17"/>
        <v>25000000</v>
      </c>
    </row>
    <row r="130" spans="1:16" s="306" customFormat="1" ht="48" thickBot="1" x14ac:dyDescent="0.3">
      <c r="A130" s="246" t="s">
        <v>500</v>
      </c>
      <c r="B130" s="265" t="s">
        <v>16</v>
      </c>
      <c r="C130" s="265" t="s">
        <v>16</v>
      </c>
      <c r="D130" s="266" t="s">
        <v>220</v>
      </c>
      <c r="E130" s="269">
        <f>E131</f>
        <v>15490364</v>
      </c>
      <c r="F130" s="269">
        <f>F131</f>
        <v>15490364</v>
      </c>
      <c r="G130" s="269">
        <f t="shared" ref="G130:I130" si="44">G131</f>
        <v>2372386</v>
      </c>
      <c r="H130" s="269">
        <f t="shared" si="44"/>
        <v>0</v>
      </c>
      <c r="I130" s="269">
        <f t="shared" si="44"/>
        <v>0</v>
      </c>
      <c r="J130" s="248">
        <f>J131</f>
        <v>361400</v>
      </c>
      <c r="K130" s="269">
        <f>K131</f>
        <v>61400</v>
      </c>
      <c r="L130" s="269">
        <f>L131</f>
        <v>300000</v>
      </c>
      <c r="M130" s="269">
        <f t="shared" ref="M130:O130" si="45">M131</f>
        <v>0</v>
      </c>
      <c r="N130" s="269">
        <f t="shared" si="45"/>
        <v>0</v>
      </c>
      <c r="O130" s="269">
        <f t="shared" si="45"/>
        <v>61400</v>
      </c>
      <c r="P130" s="286">
        <f>E130+J130</f>
        <v>15851764</v>
      </c>
    </row>
    <row r="131" spans="1:16" s="289" customFormat="1" ht="47.25" x14ac:dyDescent="0.25">
      <c r="A131" s="271" t="s">
        <v>501</v>
      </c>
      <c r="B131" s="272" t="s">
        <v>16</v>
      </c>
      <c r="C131" s="272" t="s">
        <v>16</v>
      </c>
      <c r="D131" s="273" t="s">
        <v>220</v>
      </c>
      <c r="E131" s="287">
        <f>E132+E134+E136+E135</f>
        <v>15490364</v>
      </c>
      <c r="F131" s="287">
        <f>F132+F134+F136+F135</f>
        <v>15490364</v>
      </c>
      <c r="G131" s="287">
        <f>G132</f>
        <v>2372386</v>
      </c>
      <c r="H131" s="287">
        <f>H132+H139</f>
        <v>0</v>
      </c>
      <c r="I131" s="287">
        <f>I132+I139</f>
        <v>0</v>
      </c>
      <c r="J131" s="310">
        <f>J132+J133+J134+J136</f>
        <v>361400</v>
      </c>
      <c r="K131" s="287">
        <f>K132+K133+K134</f>
        <v>61400</v>
      </c>
      <c r="L131" s="287">
        <f>L132+L133+L134+L136</f>
        <v>300000</v>
      </c>
      <c r="M131" s="287">
        <f t="shared" ref="M131:N131" si="46">M132+M133+M134</f>
        <v>0</v>
      </c>
      <c r="N131" s="287">
        <f t="shared" si="46"/>
        <v>0</v>
      </c>
      <c r="O131" s="287">
        <f>O132+O133+O134</f>
        <v>61400</v>
      </c>
      <c r="P131" s="288">
        <f>E131+J131</f>
        <v>15851764</v>
      </c>
    </row>
    <row r="132" spans="1:16" ht="47.25" x14ac:dyDescent="0.25">
      <c r="A132" s="261" t="s">
        <v>502</v>
      </c>
      <c r="B132" s="262" t="s">
        <v>437</v>
      </c>
      <c r="C132" s="262" t="s">
        <v>19</v>
      </c>
      <c r="D132" s="94" t="s">
        <v>438</v>
      </c>
      <c r="E132" s="284">
        <f>F132+I132</f>
        <v>2444653</v>
      </c>
      <c r="F132" s="284">
        <v>2444653</v>
      </c>
      <c r="G132" s="284">
        <f>1944579+427807</f>
        <v>2372386</v>
      </c>
      <c r="H132" s="284">
        <v>0</v>
      </c>
      <c r="I132" s="115">
        <v>0</v>
      </c>
      <c r="J132" s="115">
        <f>K132+O132</f>
        <v>0</v>
      </c>
      <c r="K132" s="115">
        <v>0</v>
      </c>
      <c r="L132" s="115">
        <v>0</v>
      </c>
      <c r="M132" s="115">
        <v>0</v>
      </c>
      <c r="N132" s="115">
        <v>0</v>
      </c>
      <c r="O132" s="115">
        <v>0</v>
      </c>
      <c r="P132" s="296">
        <f t="shared" si="17"/>
        <v>2444653</v>
      </c>
    </row>
    <row r="133" spans="1:16" ht="78.75" x14ac:dyDescent="0.25">
      <c r="A133" s="261">
        <v>3117660</v>
      </c>
      <c r="B133" s="262">
        <v>7660</v>
      </c>
      <c r="C133" s="262">
        <v>490</v>
      </c>
      <c r="D133" s="94" t="s">
        <v>503</v>
      </c>
      <c r="E133" s="284">
        <v>0</v>
      </c>
      <c r="F133" s="115">
        <v>0</v>
      </c>
      <c r="G133" s="115">
        <f>H133+L133</f>
        <v>0</v>
      </c>
      <c r="H133" s="284">
        <v>0</v>
      </c>
      <c r="I133" s="115">
        <v>0</v>
      </c>
      <c r="J133" s="53">
        <f t="shared" ref="J133" si="47">L133+O133</f>
        <v>61400</v>
      </c>
      <c r="K133" s="115">
        <f>O133</f>
        <v>61400</v>
      </c>
      <c r="L133" s="115">
        <v>0</v>
      </c>
      <c r="M133" s="115">
        <v>0</v>
      </c>
      <c r="N133" s="115">
        <v>0</v>
      </c>
      <c r="O133" s="115">
        <f>20000+25200+16200</f>
        <v>61400</v>
      </c>
      <c r="P133" s="296">
        <f t="shared" si="17"/>
        <v>61400</v>
      </c>
    </row>
    <row r="134" spans="1:16" ht="31.5" x14ac:dyDescent="0.25">
      <c r="A134" s="279" t="s">
        <v>504</v>
      </c>
      <c r="B134" s="132" t="s">
        <v>238</v>
      </c>
      <c r="C134" s="132" t="s">
        <v>217</v>
      </c>
      <c r="D134" s="312" t="s">
        <v>259</v>
      </c>
      <c r="E134" s="277">
        <f>F134+I134</f>
        <v>1416201</v>
      </c>
      <c r="F134" s="277">
        <f>120080+1296121</f>
        <v>1416201</v>
      </c>
      <c r="G134" s="277">
        <v>0</v>
      </c>
      <c r="H134" s="277">
        <v>0</v>
      </c>
      <c r="I134" s="53">
        <v>0</v>
      </c>
      <c r="J134" s="53">
        <f>K134+O134</f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278">
        <f t="shared" si="17"/>
        <v>1416201</v>
      </c>
    </row>
    <row r="135" spans="1:16" ht="47.25" x14ac:dyDescent="0.25">
      <c r="A135" s="279" t="s">
        <v>287</v>
      </c>
      <c r="B135" s="132" t="s">
        <v>242</v>
      </c>
      <c r="C135" s="132" t="s">
        <v>232</v>
      </c>
      <c r="D135" s="133" t="s">
        <v>236</v>
      </c>
      <c r="E135" s="277">
        <f>F135+I135</f>
        <v>11264887</v>
      </c>
      <c r="F135" s="277">
        <f>11264887</f>
        <v>11264887</v>
      </c>
      <c r="G135" s="277"/>
      <c r="H135" s="277"/>
      <c r="I135" s="53"/>
      <c r="J135" s="53"/>
      <c r="K135" s="53"/>
      <c r="L135" s="53"/>
      <c r="M135" s="53"/>
      <c r="N135" s="53"/>
      <c r="O135" s="53"/>
      <c r="P135" s="278">
        <f t="shared" si="17"/>
        <v>11264887</v>
      </c>
    </row>
    <row r="136" spans="1:16" ht="43.9" customHeight="1" thickBot="1" x14ac:dyDescent="0.3">
      <c r="A136" s="313" t="s">
        <v>505</v>
      </c>
      <c r="B136" s="136" t="s">
        <v>506</v>
      </c>
      <c r="C136" s="136" t="s">
        <v>507</v>
      </c>
      <c r="D136" s="314" t="s">
        <v>508</v>
      </c>
      <c r="E136" s="298">
        <f>F136+I136</f>
        <v>364623</v>
      </c>
      <c r="F136" s="285">
        <f>189736+149887+25000</f>
        <v>364623</v>
      </c>
      <c r="G136" s="285"/>
      <c r="H136" s="285"/>
      <c r="I136" s="244"/>
      <c r="J136" s="244">
        <f>L136</f>
        <v>300000</v>
      </c>
      <c r="K136" s="244"/>
      <c r="L136" s="244">
        <v>300000</v>
      </c>
      <c r="M136" s="244"/>
      <c r="N136" s="244"/>
      <c r="O136" s="244"/>
      <c r="P136" s="315">
        <f>E136+J136</f>
        <v>664623</v>
      </c>
    </row>
    <row r="137" spans="1:16" s="306" customFormat="1" ht="55.15" customHeight="1" thickBot="1" x14ac:dyDescent="0.3">
      <c r="A137" s="246" t="s">
        <v>509</v>
      </c>
      <c r="B137" s="265" t="s">
        <v>16</v>
      </c>
      <c r="C137" s="265" t="s">
        <v>16</v>
      </c>
      <c r="D137" s="266" t="s">
        <v>510</v>
      </c>
      <c r="E137" s="269">
        <f>E138</f>
        <v>46072981</v>
      </c>
      <c r="F137" s="269">
        <f>F138</f>
        <v>46072981</v>
      </c>
      <c r="G137" s="269">
        <f t="shared" ref="G137:I137" si="48">G138</f>
        <v>4654791</v>
      </c>
      <c r="H137" s="269">
        <f t="shared" si="48"/>
        <v>0</v>
      </c>
      <c r="I137" s="269">
        <f t="shared" si="48"/>
        <v>0</v>
      </c>
      <c r="J137" s="248">
        <f>J138</f>
        <v>0</v>
      </c>
      <c r="K137" s="248">
        <f>K138</f>
        <v>0</v>
      </c>
      <c r="L137" s="248"/>
      <c r="M137" s="248"/>
      <c r="N137" s="248"/>
      <c r="O137" s="248"/>
      <c r="P137" s="286">
        <f>E137+J137</f>
        <v>46072981</v>
      </c>
    </row>
    <row r="138" spans="1:16" s="289" customFormat="1" ht="47.25" x14ac:dyDescent="0.25">
      <c r="A138" s="271" t="s">
        <v>511</v>
      </c>
      <c r="B138" s="272" t="s">
        <v>16</v>
      </c>
      <c r="C138" s="272" t="s">
        <v>16</v>
      </c>
      <c r="D138" s="273" t="s">
        <v>510</v>
      </c>
      <c r="E138" s="287">
        <f>E139+E140+E141</f>
        <v>46072981</v>
      </c>
      <c r="F138" s="287">
        <f>F139+F140+F141</f>
        <v>46072981</v>
      </c>
      <c r="G138" s="287">
        <f t="shared" ref="G138:I138" si="49">G139+G140+G141</f>
        <v>4654791</v>
      </c>
      <c r="H138" s="287">
        <f t="shared" si="49"/>
        <v>0</v>
      </c>
      <c r="I138" s="287">
        <f t="shared" si="49"/>
        <v>0</v>
      </c>
      <c r="J138" s="310">
        <f>J139+J140+J141</f>
        <v>0</v>
      </c>
      <c r="K138" s="310">
        <f>K139+K140+K141</f>
        <v>0</v>
      </c>
      <c r="L138" s="310">
        <f t="shared" ref="L138:O138" si="50">L139+L140+L141</f>
        <v>0</v>
      </c>
      <c r="M138" s="310">
        <f t="shared" si="50"/>
        <v>0</v>
      </c>
      <c r="N138" s="310">
        <f t="shared" si="50"/>
        <v>0</v>
      </c>
      <c r="O138" s="310">
        <f t="shared" si="50"/>
        <v>0</v>
      </c>
      <c r="P138" s="288">
        <f>E138+J138</f>
        <v>46072981</v>
      </c>
    </row>
    <row r="139" spans="1:16" ht="47.25" x14ac:dyDescent="0.25">
      <c r="A139" s="202" t="s">
        <v>512</v>
      </c>
      <c r="B139" s="182" t="s">
        <v>437</v>
      </c>
      <c r="C139" s="182" t="s">
        <v>19</v>
      </c>
      <c r="D139" s="52" t="s">
        <v>438</v>
      </c>
      <c r="E139" s="277">
        <f>F139+I139</f>
        <v>4856581</v>
      </c>
      <c r="F139" s="277">
        <f>4819366+37215</f>
        <v>4856581</v>
      </c>
      <c r="G139" s="277">
        <f>3844180+810611</f>
        <v>4654791</v>
      </c>
      <c r="H139" s="277">
        <v>0</v>
      </c>
      <c r="I139" s="53">
        <v>0</v>
      </c>
      <c r="J139" s="115">
        <f t="shared" ref="J139:J141" si="51">K139+O139</f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278">
        <f t="shared" si="17"/>
        <v>4856581</v>
      </c>
    </row>
    <row r="140" spans="1:16" x14ac:dyDescent="0.25">
      <c r="A140" s="202" t="s">
        <v>513</v>
      </c>
      <c r="B140" s="182" t="s">
        <v>514</v>
      </c>
      <c r="C140" s="182" t="s">
        <v>515</v>
      </c>
      <c r="D140" s="52" t="s">
        <v>516</v>
      </c>
      <c r="E140" s="277">
        <f>F140</f>
        <v>4131200</v>
      </c>
      <c r="F140" s="316">
        <v>4131200</v>
      </c>
      <c r="G140" s="277">
        <v>0</v>
      </c>
      <c r="H140" s="277">
        <v>0</v>
      </c>
      <c r="I140" s="277">
        <v>0</v>
      </c>
      <c r="J140" s="115">
        <f t="shared" si="51"/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278">
        <f t="shared" si="17"/>
        <v>4131200</v>
      </c>
    </row>
    <row r="141" spans="1:16" ht="16.5" thickBot="1" x14ac:dyDescent="0.3">
      <c r="A141" s="308" t="s">
        <v>517</v>
      </c>
      <c r="B141" s="317" t="s">
        <v>518</v>
      </c>
      <c r="C141" s="317" t="s">
        <v>221</v>
      </c>
      <c r="D141" s="116" t="s">
        <v>519</v>
      </c>
      <c r="E141" s="284">
        <f>F141</f>
        <v>37085200</v>
      </c>
      <c r="F141" s="318">
        <v>37085200</v>
      </c>
      <c r="G141" s="284">
        <v>0</v>
      </c>
      <c r="H141" s="284">
        <v>0</v>
      </c>
      <c r="I141" s="284">
        <v>0</v>
      </c>
      <c r="J141" s="115">
        <f t="shared" si="51"/>
        <v>0</v>
      </c>
      <c r="K141" s="115">
        <v>0</v>
      </c>
      <c r="L141" s="115">
        <v>0</v>
      </c>
      <c r="M141" s="115">
        <v>0</v>
      </c>
      <c r="N141" s="115">
        <v>0</v>
      </c>
      <c r="O141" s="115">
        <v>0</v>
      </c>
      <c r="P141" s="296">
        <f>E141+J141</f>
        <v>37085200</v>
      </c>
    </row>
    <row r="142" spans="1:16" ht="16.5" thickBot="1" x14ac:dyDescent="0.3">
      <c r="A142" s="246" t="s">
        <v>7</v>
      </c>
      <c r="B142" s="265" t="s">
        <v>7</v>
      </c>
      <c r="C142" s="265" t="s">
        <v>7</v>
      </c>
      <c r="D142" s="247" t="s">
        <v>152</v>
      </c>
      <c r="E142" s="269">
        <f>E23+E40+E60+E74+E78+E96+E106+E122+E126+E130+E137</f>
        <v>592977050</v>
      </c>
      <c r="F142" s="269">
        <f t="shared" ref="F142:O142" si="52">F23+F40+F60+F74+F78+F96+F106+F122+F126+F130+F137</f>
        <v>592977050</v>
      </c>
      <c r="G142" s="269">
        <f t="shared" si="52"/>
        <v>262650596</v>
      </c>
      <c r="H142" s="269">
        <f t="shared" si="52"/>
        <v>33734689</v>
      </c>
      <c r="I142" s="269">
        <f t="shared" si="52"/>
        <v>0</v>
      </c>
      <c r="J142" s="269">
        <f t="shared" si="52"/>
        <v>152605744</v>
      </c>
      <c r="K142" s="269">
        <f t="shared" si="52"/>
        <v>138693825</v>
      </c>
      <c r="L142" s="269">
        <f t="shared" si="52"/>
        <v>13628415</v>
      </c>
      <c r="M142" s="269">
        <f t="shared" si="52"/>
        <v>4342918</v>
      </c>
      <c r="N142" s="269">
        <f t="shared" si="52"/>
        <v>84765</v>
      </c>
      <c r="O142" s="269">
        <f t="shared" si="52"/>
        <v>138977329</v>
      </c>
      <c r="P142" s="286">
        <f>E142+J142</f>
        <v>745582794</v>
      </c>
    </row>
    <row r="143" spans="1:16" x14ac:dyDescent="0.25">
      <c r="A143" s="319"/>
      <c r="B143" s="319"/>
      <c r="C143" s="319"/>
      <c r="D143" s="320"/>
      <c r="E143" s="321"/>
      <c r="F143" s="321"/>
      <c r="G143" s="321"/>
      <c r="H143" s="321"/>
      <c r="I143" s="321"/>
      <c r="J143" s="321"/>
      <c r="K143" s="321"/>
      <c r="L143" s="321"/>
      <c r="M143" s="321"/>
      <c r="N143" s="321"/>
      <c r="O143" s="321"/>
      <c r="P143" s="321"/>
    </row>
    <row r="144" spans="1:16" ht="16.899999999999999" customHeight="1" x14ac:dyDescent="0.25"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</row>
    <row r="145" spans="1:16" s="326" customFormat="1" ht="28.9" customHeight="1" x14ac:dyDescent="0.2">
      <c r="A145" s="951" t="s">
        <v>683</v>
      </c>
      <c r="B145" s="951"/>
      <c r="C145" s="951"/>
      <c r="D145" s="951"/>
      <c r="E145" s="322"/>
      <c r="F145" s="322"/>
      <c r="G145" s="322"/>
      <c r="H145" s="322"/>
      <c r="I145" s="322"/>
      <c r="J145" s="322" t="s">
        <v>684</v>
      </c>
      <c r="K145" s="322"/>
      <c r="L145" s="323"/>
      <c r="M145" s="322"/>
      <c r="N145" s="322"/>
      <c r="O145" s="324"/>
      <c r="P145" s="325"/>
    </row>
    <row r="146" spans="1:16" ht="16.899999999999999" customHeight="1" x14ac:dyDescent="0.25">
      <c r="E146" s="327"/>
      <c r="J146" s="327"/>
    </row>
    <row r="148" spans="1:16" x14ac:dyDescent="0.25">
      <c r="E148" s="328"/>
      <c r="P148" s="328"/>
    </row>
    <row r="152" spans="1:16" x14ac:dyDescent="0.25">
      <c r="G152" s="328"/>
    </row>
  </sheetData>
  <mergeCells count="31">
    <mergeCell ref="A145:D145"/>
    <mergeCell ref="K19:K21"/>
    <mergeCell ref="L19:L21"/>
    <mergeCell ref="M19:N19"/>
    <mergeCell ref="O19:O21"/>
    <mergeCell ref="G20:G21"/>
    <mergeCell ref="H20:H21"/>
    <mergeCell ref="M20:M21"/>
    <mergeCell ref="N20:N21"/>
    <mergeCell ref="N12:P12"/>
    <mergeCell ref="N13:P13"/>
    <mergeCell ref="A14:P14"/>
    <mergeCell ref="A15:P15"/>
    <mergeCell ref="A18:A21"/>
    <mergeCell ref="B18:B21"/>
    <mergeCell ref="C18:C21"/>
    <mergeCell ref="D18:D21"/>
    <mergeCell ref="E18:I18"/>
    <mergeCell ref="J18:O18"/>
    <mergeCell ref="P18:P21"/>
    <mergeCell ref="E19:E21"/>
    <mergeCell ref="F19:F21"/>
    <mergeCell ref="G19:H19"/>
    <mergeCell ref="I19:I21"/>
    <mergeCell ref="J19:J21"/>
    <mergeCell ref="N11:P11"/>
    <mergeCell ref="N5:O5"/>
    <mergeCell ref="N7:P7"/>
    <mergeCell ref="N8:P8"/>
    <mergeCell ref="N9:P9"/>
    <mergeCell ref="N10:P1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view="pageBreakPreview" topLeftCell="A9" zoomScale="90" zoomScaleNormal="100" zoomScaleSheetLayoutView="90" workbookViewId="0">
      <selection activeCell="B37" sqref="B37:C37"/>
    </sheetView>
  </sheetViews>
  <sheetFormatPr defaultRowHeight="12.75" x14ac:dyDescent="0.2"/>
  <cols>
    <col min="1" max="1" width="26" customWidth="1"/>
    <col min="2" max="2" width="20.7109375" customWidth="1"/>
    <col min="3" max="3" width="86.7109375" customWidth="1"/>
    <col min="4" max="4" width="25" customWidth="1"/>
  </cols>
  <sheetData>
    <row r="1" spans="1:5" ht="18.75" x14ac:dyDescent="0.3">
      <c r="C1" s="892" t="s">
        <v>677</v>
      </c>
      <c r="D1" s="329"/>
      <c r="E1" s="330"/>
    </row>
    <row r="2" spans="1:5" ht="18.75" x14ac:dyDescent="0.3">
      <c r="C2" s="952" t="s">
        <v>676</v>
      </c>
      <c r="D2" s="952"/>
      <c r="E2" s="330"/>
    </row>
    <row r="3" spans="1:5" ht="18.75" x14ac:dyDescent="0.3">
      <c r="C3" s="953" t="s">
        <v>686</v>
      </c>
      <c r="D3" s="953"/>
      <c r="E3" s="330"/>
    </row>
    <row r="4" spans="1:5" ht="18.75" x14ac:dyDescent="0.3">
      <c r="C4" s="954" t="s">
        <v>687</v>
      </c>
      <c r="D4" s="954"/>
      <c r="E4" s="330"/>
    </row>
    <row r="5" spans="1:5" ht="18.75" x14ac:dyDescent="0.3">
      <c r="C5" s="955" t="s">
        <v>520</v>
      </c>
      <c r="D5" s="955"/>
      <c r="E5" s="330"/>
    </row>
    <row r="7" spans="1:5" ht="15.75" x14ac:dyDescent="0.2">
      <c r="C7" s="192" t="s">
        <v>678</v>
      </c>
      <c r="D7" s="331"/>
      <c r="E7" s="5"/>
    </row>
    <row r="8" spans="1:5" ht="15.75" x14ac:dyDescent="0.2">
      <c r="C8" s="332" t="s">
        <v>521</v>
      </c>
      <c r="D8" s="331"/>
      <c r="E8" s="5"/>
    </row>
    <row r="9" spans="1:5" ht="15.75" x14ac:dyDescent="0.2">
      <c r="C9" s="333" t="s">
        <v>522</v>
      </c>
      <c r="D9" s="331"/>
      <c r="E9" s="5"/>
    </row>
    <row r="10" spans="1:5" ht="15.75" x14ac:dyDescent="0.2">
      <c r="A10" s="334"/>
      <c r="C10" s="333" t="s">
        <v>523</v>
      </c>
      <c r="D10" s="331"/>
      <c r="E10" s="5"/>
    </row>
    <row r="11" spans="1:5" ht="15.75" x14ac:dyDescent="0.25">
      <c r="C11" s="335" t="s">
        <v>524</v>
      </c>
      <c r="D11" s="336"/>
      <c r="E11" s="5"/>
    </row>
    <row r="12" spans="1:5" ht="19.149999999999999" customHeight="1" x14ac:dyDescent="0.25">
      <c r="C12" s="335" t="s">
        <v>525</v>
      </c>
      <c r="D12" s="331"/>
      <c r="E12" s="5"/>
    </row>
    <row r="13" spans="1:5" ht="15.6" customHeight="1" x14ac:dyDescent="0.2">
      <c r="C13" s="956" t="s">
        <v>679</v>
      </c>
      <c r="D13" s="956"/>
      <c r="E13" s="5"/>
    </row>
    <row r="14" spans="1:5" ht="20.25" x14ac:dyDescent="0.3">
      <c r="A14" s="925" t="s">
        <v>526</v>
      </c>
      <c r="B14" s="926"/>
      <c r="C14" s="926"/>
      <c r="D14" s="926"/>
    </row>
    <row r="15" spans="1:5" s="337" customFormat="1" ht="18.75" x14ac:dyDescent="0.3">
      <c r="A15" s="959" t="s">
        <v>211</v>
      </c>
      <c r="B15" s="960"/>
      <c r="C15" s="960"/>
      <c r="D15" s="960"/>
    </row>
    <row r="16" spans="1:5" s="337" customFormat="1" ht="18.75" x14ac:dyDescent="0.3">
      <c r="A16" s="960" t="s">
        <v>0</v>
      </c>
      <c r="B16" s="960"/>
      <c r="C16" s="960"/>
      <c r="D16" s="960"/>
    </row>
    <row r="17" spans="1:4" s="337" customFormat="1" ht="21.95" customHeight="1" x14ac:dyDescent="0.3">
      <c r="A17" s="338" t="s">
        <v>527</v>
      </c>
      <c r="B17" s="339"/>
      <c r="C17" s="339"/>
      <c r="D17" s="339"/>
    </row>
    <row r="18" spans="1:4" s="337" customFormat="1" ht="19.5" thickBot="1" x14ac:dyDescent="0.35">
      <c r="A18" s="339"/>
      <c r="B18" s="339"/>
      <c r="C18" s="339"/>
      <c r="D18" s="330" t="s">
        <v>1</v>
      </c>
    </row>
    <row r="19" spans="1:4" s="337" customFormat="1" ht="57.75" customHeight="1" x14ac:dyDescent="0.3">
      <c r="A19" s="340" t="s">
        <v>528</v>
      </c>
      <c r="B19" s="961" t="s">
        <v>529</v>
      </c>
      <c r="C19" s="962"/>
      <c r="D19" s="341" t="s">
        <v>2</v>
      </c>
    </row>
    <row r="20" spans="1:4" s="337" customFormat="1" ht="18.75" x14ac:dyDescent="0.3">
      <c r="A20" s="342">
        <v>1</v>
      </c>
      <c r="B20" s="963">
        <v>2</v>
      </c>
      <c r="C20" s="964"/>
      <c r="D20" s="343">
        <v>3</v>
      </c>
    </row>
    <row r="21" spans="1:4" s="337" customFormat="1" ht="18.75" x14ac:dyDescent="0.3">
      <c r="A21" s="965" t="s">
        <v>530</v>
      </c>
      <c r="B21" s="966"/>
      <c r="C21" s="966"/>
      <c r="D21" s="967"/>
    </row>
    <row r="22" spans="1:4" s="346" customFormat="1" ht="81" customHeight="1" x14ac:dyDescent="0.3">
      <c r="A22" s="344">
        <v>41021400</v>
      </c>
      <c r="B22" s="968" t="s">
        <v>398</v>
      </c>
      <c r="C22" s="969"/>
      <c r="D22" s="345">
        <f>D23</f>
        <v>39314700</v>
      </c>
    </row>
    <row r="23" spans="1:4" s="337" customFormat="1" ht="18.75" x14ac:dyDescent="0.3">
      <c r="A23" s="347" t="s">
        <v>531</v>
      </c>
      <c r="B23" s="957" t="s">
        <v>532</v>
      </c>
      <c r="C23" s="958"/>
      <c r="D23" s="348">
        <f>7037400+21702800+10574500</f>
        <v>39314700</v>
      </c>
    </row>
    <row r="24" spans="1:4" s="337" customFormat="1" ht="18.75" x14ac:dyDescent="0.3">
      <c r="A24" s="349" t="s">
        <v>401</v>
      </c>
      <c r="B24" s="350" t="s">
        <v>402</v>
      </c>
      <c r="C24" s="351"/>
      <c r="D24" s="352">
        <v>63608200</v>
      </c>
    </row>
    <row r="25" spans="1:4" s="337" customFormat="1" ht="24" customHeight="1" x14ac:dyDescent="0.3">
      <c r="A25" s="347" t="s">
        <v>531</v>
      </c>
      <c r="B25" s="957" t="s">
        <v>532</v>
      </c>
      <c r="C25" s="958"/>
      <c r="D25" s="353">
        <v>63608200</v>
      </c>
    </row>
    <row r="26" spans="1:4" s="337" customFormat="1" ht="234.75" customHeight="1" x14ac:dyDescent="0.3">
      <c r="A26" s="349">
        <v>41050400</v>
      </c>
      <c r="B26" s="890" t="s">
        <v>405</v>
      </c>
      <c r="C26" s="891"/>
      <c r="D26" s="352">
        <v>3758953</v>
      </c>
    </row>
    <row r="27" spans="1:4" s="337" customFormat="1" ht="24" customHeight="1" x14ac:dyDescent="0.3">
      <c r="A27" s="347">
        <v>15100000000</v>
      </c>
      <c r="B27" s="957" t="s">
        <v>533</v>
      </c>
      <c r="C27" s="958"/>
      <c r="D27" s="353">
        <v>3758953</v>
      </c>
    </row>
    <row r="28" spans="1:4" s="337" customFormat="1" ht="211.5" customHeight="1" x14ac:dyDescent="0.3">
      <c r="A28" s="349">
        <v>41050600</v>
      </c>
      <c r="B28" s="970" t="s">
        <v>406</v>
      </c>
      <c r="C28" s="971"/>
      <c r="D28" s="352">
        <v>1495198</v>
      </c>
    </row>
    <row r="29" spans="1:4" s="337" customFormat="1" ht="24" customHeight="1" x14ac:dyDescent="0.3">
      <c r="A29" s="347">
        <v>15100000000</v>
      </c>
      <c r="B29" s="957" t="s">
        <v>533</v>
      </c>
      <c r="C29" s="958"/>
      <c r="D29" s="353">
        <v>1495198</v>
      </c>
    </row>
    <row r="30" spans="1:4" s="337" customFormat="1" ht="41.45" customHeight="1" x14ac:dyDescent="0.3">
      <c r="A30" s="349" t="s">
        <v>407</v>
      </c>
      <c r="B30" s="350" t="s">
        <v>408</v>
      </c>
      <c r="C30" s="351"/>
      <c r="D30" s="352">
        <f>715470+744870</f>
        <v>1460340</v>
      </c>
    </row>
    <row r="31" spans="1:4" s="337" customFormat="1" ht="29.45" customHeight="1" x14ac:dyDescent="0.3">
      <c r="A31" s="347">
        <v>15100000000</v>
      </c>
      <c r="B31" s="957" t="s">
        <v>533</v>
      </c>
      <c r="C31" s="958"/>
      <c r="D31" s="353">
        <f>715470+744870</f>
        <v>1460340</v>
      </c>
    </row>
    <row r="32" spans="1:4" s="337" customFormat="1" ht="98.45" customHeight="1" x14ac:dyDescent="0.3">
      <c r="A32" s="349">
        <v>41051200</v>
      </c>
      <c r="B32" s="974" t="s">
        <v>409</v>
      </c>
      <c r="C32" s="975"/>
      <c r="D32" s="352">
        <f>138306+134568</f>
        <v>272874</v>
      </c>
    </row>
    <row r="33" spans="1:4" s="337" customFormat="1" ht="22.9" customHeight="1" x14ac:dyDescent="0.3">
      <c r="A33" s="347">
        <v>15100000000</v>
      </c>
      <c r="B33" s="957" t="s">
        <v>533</v>
      </c>
      <c r="C33" s="958"/>
      <c r="D33" s="353">
        <f>138306+134568</f>
        <v>272874</v>
      </c>
    </row>
    <row r="34" spans="1:4" s="337" customFormat="1" ht="100.5" customHeight="1" x14ac:dyDescent="0.3">
      <c r="A34" s="349">
        <v>41051200</v>
      </c>
      <c r="B34" s="974" t="s">
        <v>410</v>
      </c>
      <c r="C34" s="975"/>
      <c r="D34" s="354">
        <f>85974+78498</f>
        <v>164472</v>
      </c>
    </row>
    <row r="35" spans="1:4" s="337" customFormat="1" ht="22.9" customHeight="1" x14ac:dyDescent="0.3">
      <c r="A35" s="347">
        <v>15100000000</v>
      </c>
      <c r="B35" s="957" t="s">
        <v>533</v>
      </c>
      <c r="C35" s="958"/>
      <c r="D35" s="355">
        <f>85974+78498</f>
        <v>164472</v>
      </c>
    </row>
    <row r="36" spans="1:4" s="346" customFormat="1" ht="51.6" customHeight="1" x14ac:dyDescent="0.3">
      <c r="A36" s="349">
        <v>41051700</v>
      </c>
      <c r="B36" s="976" t="s">
        <v>411</v>
      </c>
      <c r="C36" s="977"/>
      <c r="D36" s="354">
        <f>D37</f>
        <v>37033</v>
      </c>
    </row>
    <row r="37" spans="1:4" s="337" customFormat="1" ht="24" customHeight="1" x14ac:dyDescent="0.3">
      <c r="A37" s="347">
        <v>15100000000</v>
      </c>
      <c r="B37" s="957" t="s">
        <v>533</v>
      </c>
      <c r="C37" s="958"/>
      <c r="D37" s="355">
        <v>37033</v>
      </c>
    </row>
    <row r="38" spans="1:4" s="358" customFormat="1" ht="39" customHeight="1" x14ac:dyDescent="0.25">
      <c r="A38" s="356">
        <v>41053900</v>
      </c>
      <c r="B38" s="974" t="s">
        <v>412</v>
      </c>
      <c r="C38" s="975"/>
      <c r="D38" s="357">
        <f>D39</f>
        <v>25445</v>
      </c>
    </row>
    <row r="39" spans="1:4" s="358" customFormat="1" ht="18.75" x14ac:dyDescent="0.3">
      <c r="A39" s="359" t="s">
        <v>534</v>
      </c>
      <c r="B39" s="972" t="s">
        <v>533</v>
      </c>
      <c r="C39" s="973"/>
      <c r="D39" s="360">
        <f>50445-25000</f>
        <v>25445</v>
      </c>
    </row>
    <row r="40" spans="1:4" s="358" customFormat="1" ht="39" customHeight="1" x14ac:dyDescent="0.25">
      <c r="A40" s="356">
        <v>41053900</v>
      </c>
      <c r="B40" s="974" t="s">
        <v>413</v>
      </c>
      <c r="C40" s="975"/>
      <c r="D40" s="361">
        <f>D41</f>
        <v>82418</v>
      </c>
    </row>
    <row r="41" spans="1:4" s="358" customFormat="1" ht="19.149999999999999" customHeight="1" x14ac:dyDescent="0.25">
      <c r="A41" s="359" t="s">
        <v>534</v>
      </c>
      <c r="B41" s="978" t="s">
        <v>533</v>
      </c>
      <c r="C41" s="979"/>
      <c r="D41" s="360">
        <f>50420+31998</f>
        <v>82418</v>
      </c>
    </row>
    <row r="42" spans="1:4" s="358" customFormat="1" ht="55.15" customHeight="1" x14ac:dyDescent="0.25">
      <c r="A42" s="356">
        <v>41053900</v>
      </c>
      <c r="B42" s="974" t="s">
        <v>414</v>
      </c>
      <c r="C42" s="975"/>
      <c r="D42" s="361">
        <f>D43</f>
        <v>15905</v>
      </c>
    </row>
    <row r="43" spans="1:4" s="358" customFormat="1" ht="18.75" x14ac:dyDescent="0.3">
      <c r="A43" s="359" t="s">
        <v>534</v>
      </c>
      <c r="B43" s="972" t="s">
        <v>533</v>
      </c>
      <c r="C43" s="973"/>
      <c r="D43" s="360">
        <f>18905-3000</f>
        <v>15905</v>
      </c>
    </row>
    <row r="44" spans="1:4" s="358" customFormat="1" ht="53.45" customHeight="1" x14ac:dyDescent="0.25">
      <c r="A44" s="356">
        <v>41057700</v>
      </c>
      <c r="B44" s="974" t="s">
        <v>415</v>
      </c>
      <c r="C44" s="975"/>
      <c r="D44" s="361">
        <v>88279</v>
      </c>
    </row>
    <row r="45" spans="1:4" s="358" customFormat="1" ht="18.75" x14ac:dyDescent="0.3">
      <c r="A45" s="359" t="s">
        <v>534</v>
      </c>
      <c r="B45" s="972" t="s">
        <v>533</v>
      </c>
      <c r="C45" s="973"/>
      <c r="D45" s="360">
        <v>88279</v>
      </c>
    </row>
    <row r="46" spans="1:4" s="358" customFormat="1" ht="18.75" hidden="1" x14ac:dyDescent="0.3">
      <c r="A46" s="362"/>
      <c r="B46" s="363"/>
      <c r="C46" s="364"/>
      <c r="D46" s="365"/>
    </row>
    <row r="47" spans="1:4" s="337" customFormat="1" ht="18.75" hidden="1" customHeight="1" x14ac:dyDescent="0.3">
      <c r="A47" s="366"/>
      <c r="B47" s="367"/>
      <c r="C47" s="368"/>
      <c r="D47" s="369"/>
    </row>
    <row r="48" spans="1:4" s="337" customFormat="1" ht="18.75" x14ac:dyDescent="0.3">
      <c r="A48" s="965" t="s">
        <v>535</v>
      </c>
      <c r="B48" s="966"/>
      <c r="C48" s="966"/>
      <c r="D48" s="967"/>
    </row>
    <row r="49" spans="1:4" s="370" customFormat="1" ht="37.5" x14ac:dyDescent="0.3">
      <c r="A49" s="349" t="s">
        <v>407</v>
      </c>
      <c r="B49" s="350" t="s">
        <v>408</v>
      </c>
      <c r="C49" s="351"/>
      <c r="D49" s="862">
        <f>D50</f>
        <v>176940</v>
      </c>
    </row>
    <row r="50" spans="1:4" s="370" customFormat="1" ht="27" customHeight="1" x14ac:dyDescent="0.3">
      <c r="A50" s="347">
        <v>15100000000</v>
      </c>
      <c r="B50" s="957" t="s">
        <v>533</v>
      </c>
      <c r="C50" s="958"/>
      <c r="D50" s="863">
        <v>176940</v>
      </c>
    </row>
    <row r="51" spans="1:4" s="337" customFormat="1" ht="18.75" x14ac:dyDescent="0.3">
      <c r="A51" s="371" t="s">
        <v>7</v>
      </c>
      <c r="B51" s="372" t="s">
        <v>536</v>
      </c>
      <c r="C51" s="351"/>
      <c r="D51" s="373">
        <f>D52+D53</f>
        <v>110500757</v>
      </c>
    </row>
    <row r="52" spans="1:4" s="337" customFormat="1" ht="23.45" customHeight="1" x14ac:dyDescent="0.3">
      <c r="A52" s="371" t="s">
        <v>7</v>
      </c>
      <c r="B52" s="372" t="s">
        <v>202</v>
      </c>
      <c r="C52" s="351"/>
      <c r="D52" s="373">
        <f>D22+D24+D30+D34+D32+D38+D40+D42+D36+D44+D28+D26</f>
        <v>110323817</v>
      </c>
    </row>
    <row r="53" spans="1:4" s="337" customFormat="1" ht="22.9" customHeight="1" x14ac:dyDescent="0.3">
      <c r="A53" s="371" t="s">
        <v>7</v>
      </c>
      <c r="B53" s="372" t="s">
        <v>203</v>
      </c>
      <c r="C53" s="351"/>
      <c r="D53" s="373">
        <f>D49</f>
        <v>176940</v>
      </c>
    </row>
    <row r="54" spans="1:4" s="377" customFormat="1" ht="21.95" customHeight="1" x14ac:dyDescent="0.3">
      <c r="A54" s="374" t="s">
        <v>537</v>
      </c>
      <c r="B54" s="375"/>
      <c r="C54" s="375"/>
      <c r="D54" s="376" t="s">
        <v>1</v>
      </c>
    </row>
    <row r="55" spans="1:4" s="337" customFormat="1" ht="131.25" x14ac:dyDescent="0.3">
      <c r="A55" s="378" t="s">
        <v>538</v>
      </c>
      <c r="B55" s="379" t="s">
        <v>539</v>
      </c>
      <c r="C55" s="380" t="s">
        <v>540</v>
      </c>
      <c r="D55" s="381" t="s">
        <v>2</v>
      </c>
    </row>
    <row r="56" spans="1:4" s="337" customFormat="1" ht="18.75" x14ac:dyDescent="0.3">
      <c r="A56" s="382">
        <v>1</v>
      </c>
      <c r="B56" s="383">
        <v>2</v>
      </c>
      <c r="C56" s="383">
        <v>3</v>
      </c>
      <c r="D56" s="384">
        <v>4</v>
      </c>
    </row>
    <row r="57" spans="1:4" s="337" customFormat="1" ht="21.6" customHeight="1" x14ac:dyDescent="0.3">
      <c r="A57" s="981" t="s">
        <v>541</v>
      </c>
      <c r="B57" s="982"/>
      <c r="C57" s="983"/>
      <c r="D57" s="385"/>
    </row>
    <row r="58" spans="1:4" s="337" customFormat="1" ht="23.45" customHeight="1" x14ac:dyDescent="0.3">
      <c r="A58" s="386" t="s">
        <v>517</v>
      </c>
      <c r="B58" s="387" t="s">
        <v>518</v>
      </c>
      <c r="C58" s="388" t="s">
        <v>519</v>
      </c>
      <c r="D58" s="389">
        <f>D59</f>
        <v>37085200</v>
      </c>
    </row>
    <row r="59" spans="1:4" s="337" customFormat="1" ht="19.899999999999999" customHeight="1" x14ac:dyDescent="0.3">
      <c r="A59" s="390" t="s">
        <v>531</v>
      </c>
      <c r="B59" s="391" t="s">
        <v>518</v>
      </c>
      <c r="C59" s="392" t="s">
        <v>532</v>
      </c>
      <c r="D59" s="393">
        <v>37085200</v>
      </c>
    </row>
    <row r="60" spans="1:4" s="337" customFormat="1" ht="10.5" customHeight="1" x14ac:dyDescent="0.3">
      <c r="A60" s="390"/>
      <c r="B60" s="391"/>
      <c r="C60" s="392"/>
      <c r="D60" s="393"/>
    </row>
    <row r="61" spans="1:4" s="398" customFormat="1" ht="20.25" customHeight="1" x14ac:dyDescent="0.3">
      <c r="A61" s="394" t="s">
        <v>297</v>
      </c>
      <c r="B61" s="395">
        <v>9770</v>
      </c>
      <c r="C61" s="396" t="s">
        <v>542</v>
      </c>
      <c r="D61" s="397">
        <f>D62</f>
        <v>26500000</v>
      </c>
    </row>
    <row r="62" spans="1:4" s="339" customFormat="1" ht="18" customHeight="1" x14ac:dyDescent="0.3">
      <c r="A62" s="359" t="s">
        <v>534</v>
      </c>
      <c r="B62" s="399">
        <v>9770</v>
      </c>
      <c r="C62" s="400" t="s">
        <v>533</v>
      </c>
      <c r="D62" s="401">
        <v>26500000</v>
      </c>
    </row>
    <row r="63" spans="1:4" s="339" customFormat="1" ht="18" customHeight="1" x14ac:dyDescent="0.3">
      <c r="A63" s="394" t="s">
        <v>666</v>
      </c>
      <c r="B63" s="395">
        <v>9770</v>
      </c>
      <c r="C63" s="396" t="s">
        <v>542</v>
      </c>
      <c r="D63" s="869">
        <f>D64</f>
        <v>25000000</v>
      </c>
    </row>
    <row r="64" spans="1:4" s="339" customFormat="1" ht="18" customHeight="1" x14ac:dyDescent="0.3">
      <c r="A64" s="359" t="s">
        <v>534</v>
      </c>
      <c r="B64" s="399">
        <v>9770</v>
      </c>
      <c r="C64" s="400" t="s">
        <v>533</v>
      </c>
      <c r="D64" s="401">
        <v>25000000</v>
      </c>
    </row>
    <row r="65" spans="1:13" s="398" customFormat="1" ht="18" customHeight="1" x14ac:dyDescent="0.3">
      <c r="A65" s="394" t="s">
        <v>543</v>
      </c>
      <c r="B65" s="395">
        <v>9770</v>
      </c>
      <c r="C65" s="396" t="s">
        <v>542</v>
      </c>
      <c r="D65" s="397">
        <f>D66</f>
        <v>350000</v>
      </c>
    </row>
    <row r="66" spans="1:13" s="339" customFormat="1" ht="18.75" x14ac:dyDescent="0.3">
      <c r="A66" s="347">
        <v>15327200000</v>
      </c>
      <c r="B66" s="402">
        <v>9770</v>
      </c>
      <c r="C66" s="403" t="s">
        <v>544</v>
      </c>
      <c r="D66" s="404">
        <v>350000</v>
      </c>
    </row>
    <row r="67" spans="1:13" s="339" customFormat="1" ht="54" customHeight="1" x14ac:dyDescent="0.3">
      <c r="A67" s="394" t="s">
        <v>234</v>
      </c>
      <c r="B67" s="395">
        <v>9800</v>
      </c>
      <c r="C67" s="405" t="s">
        <v>235</v>
      </c>
      <c r="D67" s="397">
        <f>D68+D69+D70+D71+D72+D73+D74+D75+D76</f>
        <v>10525900</v>
      </c>
      <c r="H67" s="870"/>
      <c r="I67" s="870"/>
      <c r="J67" s="870"/>
      <c r="K67" s="870"/>
      <c r="L67" s="870"/>
      <c r="M67" s="870"/>
    </row>
    <row r="68" spans="1:13" s="339" customFormat="1" ht="24" customHeight="1" x14ac:dyDescent="0.3">
      <c r="A68" s="390" t="s">
        <v>531</v>
      </c>
      <c r="B68" s="391">
        <v>9800</v>
      </c>
      <c r="C68" s="392" t="s">
        <v>532</v>
      </c>
      <c r="D68" s="393">
        <v>1000000</v>
      </c>
      <c r="H68" s="871"/>
      <c r="I68" s="872"/>
      <c r="J68" s="873"/>
      <c r="K68" s="870"/>
      <c r="L68" s="870"/>
      <c r="M68" s="870"/>
    </row>
    <row r="69" spans="1:13" s="339" customFormat="1" ht="30.6" customHeight="1" x14ac:dyDescent="0.3">
      <c r="A69" s="390" t="s">
        <v>531</v>
      </c>
      <c r="B69" s="391">
        <v>9800</v>
      </c>
      <c r="C69" s="392" t="s">
        <v>532</v>
      </c>
      <c r="D69" s="393">
        <f>8400000-6950000</f>
        <v>1450000</v>
      </c>
      <c r="H69" s="874"/>
      <c r="I69" s="875"/>
      <c r="J69" s="876"/>
      <c r="K69" s="870"/>
      <c r="L69" s="870"/>
      <c r="M69" s="870"/>
    </row>
    <row r="70" spans="1:13" s="339" customFormat="1" ht="30.6" customHeight="1" x14ac:dyDescent="0.3">
      <c r="A70" s="390" t="s">
        <v>531</v>
      </c>
      <c r="B70" s="391">
        <v>9800</v>
      </c>
      <c r="C70" s="392" t="s">
        <v>532</v>
      </c>
      <c r="D70" s="393">
        <v>2000000</v>
      </c>
      <c r="H70" s="870"/>
      <c r="I70" s="870"/>
      <c r="J70" s="870"/>
      <c r="K70" s="870"/>
      <c r="L70" s="870"/>
      <c r="M70" s="870"/>
    </row>
    <row r="71" spans="1:13" s="339" customFormat="1" ht="30.6" customHeight="1" x14ac:dyDescent="0.3">
      <c r="A71" s="390" t="s">
        <v>531</v>
      </c>
      <c r="B71" s="391">
        <v>9800</v>
      </c>
      <c r="C71" s="392" t="s">
        <v>532</v>
      </c>
      <c r="D71" s="393">
        <v>225900</v>
      </c>
      <c r="H71" s="870"/>
      <c r="I71" s="870"/>
      <c r="J71" s="870"/>
      <c r="K71" s="870"/>
      <c r="L71" s="870"/>
      <c r="M71" s="870"/>
    </row>
    <row r="72" spans="1:13" s="339" customFormat="1" ht="30.6" customHeight="1" x14ac:dyDescent="0.3">
      <c r="A72" s="390" t="s">
        <v>531</v>
      </c>
      <c r="B72" s="391">
        <v>9800</v>
      </c>
      <c r="C72" s="392" t="s">
        <v>532</v>
      </c>
      <c r="D72" s="393">
        <v>1000000</v>
      </c>
    </row>
    <row r="73" spans="1:13" s="339" customFormat="1" ht="30.6" customHeight="1" x14ac:dyDescent="0.3">
      <c r="A73" s="390" t="s">
        <v>531</v>
      </c>
      <c r="B73" s="391">
        <v>9800</v>
      </c>
      <c r="C73" s="392" t="s">
        <v>532</v>
      </c>
      <c r="D73" s="393">
        <v>1050000</v>
      </c>
    </row>
    <row r="74" spans="1:13" s="339" customFormat="1" ht="30.6" customHeight="1" x14ac:dyDescent="0.3">
      <c r="A74" s="390" t="s">
        <v>531</v>
      </c>
      <c r="B74" s="391">
        <v>9800</v>
      </c>
      <c r="C74" s="392" t="s">
        <v>532</v>
      </c>
      <c r="D74" s="393">
        <v>3000000</v>
      </c>
    </row>
    <row r="75" spans="1:13" s="339" customFormat="1" ht="30.6" customHeight="1" x14ac:dyDescent="0.3">
      <c r="A75" s="390" t="s">
        <v>531</v>
      </c>
      <c r="B75" s="391">
        <v>9800</v>
      </c>
      <c r="C75" s="392" t="s">
        <v>532</v>
      </c>
      <c r="D75" s="393">
        <v>800000</v>
      </c>
    </row>
    <row r="76" spans="1:13" s="339" customFormat="1" ht="30.6" hidden="1" customHeight="1" x14ac:dyDescent="0.3">
      <c r="A76" s="390"/>
      <c r="B76" s="391"/>
      <c r="C76" s="392"/>
      <c r="D76" s="393"/>
    </row>
    <row r="77" spans="1:13" s="337" customFormat="1" ht="20.100000000000001" customHeight="1" x14ac:dyDescent="0.3">
      <c r="A77" s="984" t="s">
        <v>545</v>
      </c>
      <c r="B77" s="985"/>
      <c r="C77" s="985"/>
      <c r="D77" s="986"/>
    </row>
    <row r="78" spans="1:13" s="339" customFormat="1" ht="51.6" customHeight="1" x14ac:dyDescent="0.3">
      <c r="A78" s="394" t="s">
        <v>234</v>
      </c>
      <c r="B78" s="395">
        <v>9800</v>
      </c>
      <c r="C78" s="405" t="s">
        <v>235</v>
      </c>
      <c r="D78" s="397">
        <f>D79+D80+D81+D82</f>
        <v>8454600</v>
      </c>
    </row>
    <row r="79" spans="1:13" s="339" customFormat="1" ht="30.6" customHeight="1" x14ac:dyDescent="0.3">
      <c r="A79" s="390" t="s">
        <v>531</v>
      </c>
      <c r="B79" s="391">
        <v>9800</v>
      </c>
      <c r="C79" s="392" t="s">
        <v>532</v>
      </c>
      <c r="D79" s="393">
        <v>900000</v>
      </c>
    </row>
    <row r="80" spans="1:13" s="339" customFormat="1" ht="30.6" customHeight="1" x14ac:dyDescent="0.3">
      <c r="A80" s="390" t="s">
        <v>531</v>
      </c>
      <c r="B80" s="391">
        <v>9800</v>
      </c>
      <c r="C80" s="392" t="s">
        <v>532</v>
      </c>
      <c r="D80" s="393">
        <v>6950000</v>
      </c>
    </row>
    <row r="81" spans="1:16" s="339" customFormat="1" ht="30.6" customHeight="1" x14ac:dyDescent="0.3">
      <c r="A81" s="390" t="s">
        <v>531</v>
      </c>
      <c r="B81" s="391">
        <v>9800</v>
      </c>
      <c r="C81" s="392" t="s">
        <v>532</v>
      </c>
      <c r="D81" s="393">
        <v>89600</v>
      </c>
    </row>
    <row r="82" spans="1:16" s="339" customFormat="1" ht="30.6" customHeight="1" x14ac:dyDescent="0.3">
      <c r="A82" s="390" t="s">
        <v>531</v>
      </c>
      <c r="B82" s="391">
        <v>9800</v>
      </c>
      <c r="C82" s="392" t="s">
        <v>532</v>
      </c>
      <c r="D82" s="393">
        <v>515000</v>
      </c>
    </row>
    <row r="83" spans="1:16" s="337" customFormat="1" ht="28.9" customHeight="1" x14ac:dyDescent="0.3">
      <c r="A83" s="406" t="s">
        <v>7</v>
      </c>
      <c r="B83" s="407" t="s">
        <v>7</v>
      </c>
      <c r="C83" s="372" t="s">
        <v>536</v>
      </c>
      <c r="D83" s="385">
        <f>D84+D85</f>
        <v>107915700</v>
      </c>
    </row>
    <row r="84" spans="1:16" s="337" customFormat="1" ht="30" customHeight="1" x14ac:dyDescent="0.3">
      <c r="A84" s="406" t="s">
        <v>7</v>
      </c>
      <c r="B84" s="407" t="s">
        <v>7</v>
      </c>
      <c r="C84" s="372" t="s">
        <v>202</v>
      </c>
      <c r="D84" s="408">
        <f>D58+D61+D63+D65+D67</f>
        <v>99461100</v>
      </c>
    </row>
    <row r="85" spans="1:16" s="337" customFormat="1" ht="19.5" thickBot="1" x14ac:dyDescent="0.35">
      <c r="A85" s="409" t="s">
        <v>7</v>
      </c>
      <c r="B85" s="410" t="s">
        <v>7</v>
      </c>
      <c r="C85" s="411" t="s">
        <v>203</v>
      </c>
      <c r="D85" s="412">
        <f>D78</f>
        <v>8454600</v>
      </c>
    </row>
    <row r="86" spans="1:16" s="337" customFormat="1" ht="18.75" x14ac:dyDescent="0.3">
      <c r="A86" s="413"/>
      <c r="B86" s="413"/>
      <c r="C86" s="414"/>
      <c r="D86" s="415"/>
    </row>
    <row r="87" spans="1:16" ht="15.75" x14ac:dyDescent="0.25">
      <c r="A87" s="1"/>
      <c r="B87" s="1"/>
      <c r="C87" s="1"/>
      <c r="D87" s="1"/>
    </row>
    <row r="88" spans="1:16" s="417" customFormat="1" ht="42.6" customHeight="1" x14ac:dyDescent="0.25">
      <c r="A88" s="987" t="s">
        <v>688</v>
      </c>
      <c r="B88" s="987"/>
      <c r="C88" s="987"/>
      <c r="D88" s="987"/>
      <c r="E88" s="980"/>
      <c r="F88" s="980"/>
      <c r="G88" s="416"/>
      <c r="H88" s="416"/>
      <c r="I88" s="416"/>
      <c r="K88" s="416"/>
      <c r="L88" s="418"/>
      <c r="M88" s="416"/>
      <c r="N88" s="419"/>
      <c r="O88" s="420"/>
      <c r="P88" s="421"/>
    </row>
    <row r="89" spans="1:16" s="337" customFormat="1" ht="20.45" customHeight="1" x14ac:dyDescent="0.3">
      <c r="A89" s="398"/>
      <c r="B89" s="339"/>
      <c r="C89" s="1"/>
      <c r="D89" s="339"/>
    </row>
  </sheetData>
  <mergeCells count="38">
    <mergeCell ref="E88:F88"/>
    <mergeCell ref="B44:C44"/>
    <mergeCell ref="B45:C45"/>
    <mergeCell ref="A48:D48"/>
    <mergeCell ref="A57:C57"/>
    <mergeCell ref="A77:D77"/>
    <mergeCell ref="A88:D88"/>
    <mergeCell ref="B50:C5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A15:D15"/>
    <mergeCell ref="A16:D16"/>
    <mergeCell ref="B19:C19"/>
    <mergeCell ref="B20:C20"/>
    <mergeCell ref="A21:D21"/>
    <mergeCell ref="B22:C22"/>
    <mergeCell ref="B23:C23"/>
    <mergeCell ref="B25:C25"/>
    <mergeCell ref="B27:C27"/>
    <mergeCell ref="B28:C28"/>
    <mergeCell ref="B29:C29"/>
    <mergeCell ref="A14:D14"/>
    <mergeCell ref="C2:D2"/>
    <mergeCell ref="C3:D3"/>
    <mergeCell ref="C4:D4"/>
    <mergeCell ref="C5:D5"/>
    <mergeCell ref="C13:D13"/>
  </mergeCells>
  <pageMargins left="1.1811023622047245" right="0.39370078740157483" top="0.78740157480314965" bottom="0.78740157480314965" header="0.31496062992125984" footer="0.31496062992125984"/>
  <pageSetup paperSize="9" scale="55" orientation="portrait" r:id="rId1"/>
  <rowBreaks count="2" manualBreakCount="2">
    <brk id="33" max="3" man="1"/>
    <brk id="75" max="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view="pageBreakPreview" topLeftCell="A25" zoomScaleNormal="80" zoomScaleSheetLayoutView="100" workbookViewId="0">
      <selection activeCell="E88" sqref="E88"/>
    </sheetView>
  </sheetViews>
  <sheetFormatPr defaultColWidth="9.140625" defaultRowHeight="15" x14ac:dyDescent="0.25"/>
  <cols>
    <col min="1" max="1" width="13" style="10" customWidth="1"/>
    <col min="2" max="2" width="12.5703125" style="10" customWidth="1"/>
    <col min="3" max="3" width="13.42578125" style="10" customWidth="1"/>
    <col min="4" max="4" width="41.7109375" style="10" customWidth="1"/>
    <col min="5" max="5" width="40.28515625" style="10" customWidth="1"/>
    <col min="6" max="6" width="42.140625" style="10" customWidth="1"/>
    <col min="7" max="7" width="14" style="10" customWidth="1"/>
    <col min="8" max="8" width="15.140625" style="10" customWidth="1"/>
    <col min="9" max="9" width="14.5703125" style="10" customWidth="1"/>
    <col min="10" max="10" width="14.85546875" style="10" customWidth="1"/>
    <col min="11" max="16384" width="9.140625" style="10"/>
  </cols>
  <sheetData>
    <row r="1" spans="1:10" ht="15.75" x14ac:dyDescent="0.25">
      <c r="H1" s="125" t="s">
        <v>680</v>
      </c>
      <c r="I1" s="4"/>
      <c r="J1" s="5"/>
    </row>
    <row r="2" spans="1:10" ht="15.75" x14ac:dyDescent="0.25">
      <c r="H2" s="125" t="s">
        <v>198</v>
      </c>
      <c r="I2" s="4"/>
      <c r="J2" s="5"/>
    </row>
    <row r="3" spans="1:10" ht="15.75" x14ac:dyDescent="0.25">
      <c r="H3" s="6" t="s">
        <v>681</v>
      </c>
      <c r="I3" s="7"/>
      <c r="J3" s="5"/>
    </row>
    <row r="4" spans="1:10" ht="15.75" x14ac:dyDescent="0.25">
      <c r="H4" s="6" t="s">
        <v>682</v>
      </c>
      <c r="I4" s="4"/>
      <c r="J4" s="5"/>
    </row>
    <row r="5" spans="1:10" ht="15.75" x14ac:dyDescent="0.25">
      <c r="H5" s="901" t="s">
        <v>642</v>
      </c>
      <c r="I5" s="901"/>
      <c r="J5" s="5"/>
    </row>
    <row r="7" spans="1:10" ht="15.75" x14ac:dyDescent="0.25">
      <c r="H7" s="3" t="s">
        <v>273</v>
      </c>
      <c r="I7" s="4"/>
      <c r="J7" s="5"/>
    </row>
    <row r="8" spans="1:10" ht="15.75" x14ac:dyDescent="0.25">
      <c r="H8" s="3" t="s">
        <v>8</v>
      </c>
      <c r="I8" s="4"/>
      <c r="J8" s="5"/>
    </row>
    <row r="9" spans="1:10" ht="15.75" x14ac:dyDescent="0.25">
      <c r="H9" s="61" t="s">
        <v>9</v>
      </c>
      <c r="I9" s="4"/>
      <c r="J9" s="5"/>
    </row>
    <row r="10" spans="1:10" ht="15.75" x14ac:dyDescent="0.25">
      <c r="H10" s="61" t="s">
        <v>205</v>
      </c>
      <c r="I10" s="4"/>
      <c r="J10" s="5"/>
    </row>
    <row r="11" spans="1:10" ht="15.75" x14ac:dyDescent="0.25">
      <c r="H11" s="6" t="s">
        <v>222</v>
      </c>
      <c r="I11" s="7"/>
      <c r="J11" s="5"/>
    </row>
    <row r="12" spans="1:10" ht="15.75" x14ac:dyDescent="0.25">
      <c r="H12" s="6" t="s">
        <v>225</v>
      </c>
      <c r="I12" s="4"/>
      <c r="J12" s="5"/>
    </row>
    <row r="13" spans="1:10" ht="15.75" x14ac:dyDescent="0.25">
      <c r="H13" s="11" t="s">
        <v>229</v>
      </c>
      <c r="I13" s="62"/>
      <c r="J13" s="5"/>
    </row>
    <row r="14" spans="1:10" ht="15.75" x14ac:dyDescent="0.25">
      <c r="I14" s="11"/>
      <c r="J14" s="12"/>
    </row>
    <row r="15" spans="1:10" ht="15.75" x14ac:dyDescent="0.25">
      <c r="H15" s="11"/>
      <c r="I15" s="11"/>
      <c r="J15" s="12"/>
    </row>
    <row r="16" spans="1:10" ht="20.25" x14ac:dyDescent="0.3">
      <c r="A16" s="925" t="s">
        <v>204</v>
      </c>
      <c r="B16" s="926"/>
      <c r="C16" s="926"/>
      <c r="D16" s="926"/>
      <c r="E16" s="926"/>
      <c r="F16" s="926"/>
      <c r="G16" s="926"/>
      <c r="H16" s="926"/>
      <c r="I16" s="926"/>
      <c r="J16" s="926"/>
    </row>
    <row r="18" spans="1:13" ht="15.75" x14ac:dyDescent="0.25">
      <c r="A18" s="992">
        <v>1559100000</v>
      </c>
      <c r="B18" s="992"/>
      <c r="M18" s="10" t="s">
        <v>301</v>
      </c>
    </row>
    <row r="19" spans="1:13" ht="16.5" thickBot="1" x14ac:dyDescent="0.3">
      <c r="A19" s="1" t="s">
        <v>0</v>
      </c>
      <c r="B19" s="1"/>
      <c r="J19" s="13" t="s">
        <v>10</v>
      </c>
    </row>
    <row r="20" spans="1:13" ht="15.75" x14ac:dyDescent="0.25">
      <c r="A20" s="993" t="s">
        <v>11</v>
      </c>
      <c r="B20" s="995" t="s">
        <v>12</v>
      </c>
      <c r="C20" s="995" t="s">
        <v>13</v>
      </c>
      <c r="D20" s="997" t="s">
        <v>14</v>
      </c>
      <c r="E20" s="989" t="s">
        <v>153</v>
      </c>
      <c r="F20" s="989" t="s">
        <v>154</v>
      </c>
      <c r="G20" s="930" t="s">
        <v>2</v>
      </c>
      <c r="H20" s="989" t="s">
        <v>3</v>
      </c>
      <c r="I20" s="989" t="s">
        <v>4</v>
      </c>
      <c r="J20" s="991"/>
    </row>
    <row r="21" spans="1:13" ht="106.5" customHeight="1" thickBot="1" x14ac:dyDescent="0.3">
      <c r="A21" s="994"/>
      <c r="B21" s="996"/>
      <c r="C21" s="996"/>
      <c r="D21" s="998"/>
      <c r="E21" s="990"/>
      <c r="F21" s="990"/>
      <c r="G21" s="932"/>
      <c r="H21" s="990"/>
      <c r="I21" s="897" t="s">
        <v>5</v>
      </c>
      <c r="J21" s="14" t="s">
        <v>6</v>
      </c>
    </row>
    <row r="22" spans="1:13" ht="16.5" thickBot="1" x14ac:dyDescent="0.3">
      <c r="A22" s="15">
        <v>1</v>
      </c>
      <c r="B22" s="16">
        <v>2</v>
      </c>
      <c r="C22" s="16">
        <v>3</v>
      </c>
      <c r="D22" s="107">
        <v>4</v>
      </c>
      <c r="E22" s="16">
        <v>5</v>
      </c>
      <c r="F22" s="16">
        <v>6</v>
      </c>
      <c r="G22" s="17">
        <v>7</v>
      </c>
      <c r="H22" s="16">
        <v>8</v>
      </c>
      <c r="I22" s="18">
        <v>9</v>
      </c>
      <c r="J22" s="19">
        <v>10</v>
      </c>
    </row>
    <row r="23" spans="1:13" ht="55.5" customHeight="1" thickBot="1" x14ac:dyDescent="0.3">
      <c r="A23" s="159" t="s">
        <v>15</v>
      </c>
      <c r="B23" s="20" t="s">
        <v>16</v>
      </c>
      <c r="C23" s="20" t="s">
        <v>16</v>
      </c>
      <c r="D23" s="108" t="s">
        <v>17</v>
      </c>
      <c r="E23" s="21" t="s">
        <v>16</v>
      </c>
      <c r="F23" s="21" t="s">
        <v>16</v>
      </c>
      <c r="G23" s="22">
        <f>H23+I23</f>
        <v>109611209</v>
      </c>
      <c r="H23" s="23">
        <f>H24</f>
        <v>85342933</v>
      </c>
      <c r="I23" s="23">
        <f>I24</f>
        <v>24268276</v>
      </c>
      <c r="J23" s="24">
        <f>J24</f>
        <v>24174772</v>
      </c>
      <c r="K23" s="866">
        <f>I23-J23</f>
        <v>93504</v>
      </c>
    </row>
    <row r="24" spans="1:13" ht="48.6" customHeight="1" x14ac:dyDescent="0.25">
      <c r="A24" s="160" t="s">
        <v>18</v>
      </c>
      <c r="B24" s="40" t="s">
        <v>16</v>
      </c>
      <c r="C24" s="40" t="s">
        <v>16</v>
      </c>
      <c r="D24" s="55" t="s">
        <v>17</v>
      </c>
      <c r="E24" s="26" t="s">
        <v>16</v>
      </c>
      <c r="F24" s="26" t="s">
        <v>16</v>
      </c>
      <c r="G24" s="37">
        <f>H24+I24</f>
        <v>109611209</v>
      </c>
      <c r="H24" s="38">
        <f>H26+H25+H27+H28+H29+H30+H32+H34+H37+H35+H38+H40+H41+H33+H42</f>
        <v>85342933</v>
      </c>
      <c r="I24" s="38">
        <f>I26+I27+I28+I29+I30+I34+I35+I37+I36+I25+I38+I39+I31+I40+I41</f>
        <v>24268276</v>
      </c>
      <c r="J24" s="39">
        <f>J26+J27+J28+J29+J30+J34+J35+J37+J36+J25+J38+J39+J31+J40+J41</f>
        <v>24174772</v>
      </c>
    </row>
    <row r="25" spans="1:13" ht="94.5" x14ac:dyDescent="0.25">
      <c r="A25" s="894" t="s">
        <v>214</v>
      </c>
      <c r="B25" s="893" t="s">
        <v>215</v>
      </c>
      <c r="C25" s="893" t="s">
        <v>19</v>
      </c>
      <c r="D25" s="52" t="s">
        <v>216</v>
      </c>
      <c r="E25" s="46" t="s">
        <v>263</v>
      </c>
      <c r="F25" s="156" t="s">
        <v>668</v>
      </c>
      <c r="G25" s="27">
        <f>H25+I25</f>
        <v>196176</v>
      </c>
      <c r="H25" s="28">
        <v>196176</v>
      </c>
      <c r="I25" s="31">
        <v>0</v>
      </c>
      <c r="J25" s="32">
        <v>0</v>
      </c>
    </row>
    <row r="26" spans="1:13" ht="63" x14ac:dyDescent="0.25">
      <c r="A26" s="894" t="s">
        <v>20</v>
      </c>
      <c r="B26" s="117" t="s">
        <v>21</v>
      </c>
      <c r="C26" s="117" t="s">
        <v>22</v>
      </c>
      <c r="D26" s="56" t="s">
        <v>23</v>
      </c>
      <c r="E26" s="113" t="s">
        <v>207</v>
      </c>
      <c r="F26" s="158" t="s">
        <v>298</v>
      </c>
      <c r="G26" s="8">
        <f>H26+I26</f>
        <v>20593424</v>
      </c>
      <c r="H26" s="31">
        <f>6952624-476430</f>
        <v>6476194</v>
      </c>
      <c r="I26" s="31">
        <f>7440800+6200000+476430</f>
        <v>14117230</v>
      </c>
      <c r="J26" s="32">
        <f>7440800+6200000+476430</f>
        <v>14117230</v>
      </c>
    </row>
    <row r="27" spans="1:13" ht="102.75" customHeight="1" x14ac:dyDescent="0.25">
      <c r="A27" s="894" t="s">
        <v>20</v>
      </c>
      <c r="B27" s="117" t="s">
        <v>21</v>
      </c>
      <c r="C27" s="117" t="s">
        <v>22</v>
      </c>
      <c r="D27" s="56" t="s">
        <v>23</v>
      </c>
      <c r="E27" s="113" t="s">
        <v>206</v>
      </c>
      <c r="F27" s="113" t="s">
        <v>208</v>
      </c>
      <c r="G27" s="8">
        <f>H27+I27</f>
        <v>16517740</v>
      </c>
      <c r="H27" s="31">
        <f>17268740-751000</f>
        <v>16517740</v>
      </c>
      <c r="I27" s="31">
        <v>0</v>
      </c>
      <c r="J27" s="32">
        <v>0</v>
      </c>
    </row>
    <row r="28" spans="1:13" ht="63" x14ac:dyDescent="0.25">
      <c r="A28" s="894" t="s">
        <v>24</v>
      </c>
      <c r="B28" s="117" t="s">
        <v>25</v>
      </c>
      <c r="C28" s="117" t="s">
        <v>26</v>
      </c>
      <c r="D28" s="56" t="s">
        <v>27</v>
      </c>
      <c r="E28" s="30" t="s">
        <v>155</v>
      </c>
      <c r="F28" s="157" t="s">
        <v>274</v>
      </c>
      <c r="G28" s="8">
        <f t="shared" ref="G28:G41" si="0">H28+I28</f>
        <v>2852804</v>
      </c>
      <c r="H28" s="31">
        <f>1950549+598255</f>
        <v>2548804</v>
      </c>
      <c r="I28" s="31">
        <v>304000</v>
      </c>
      <c r="J28" s="32">
        <v>304000</v>
      </c>
    </row>
    <row r="29" spans="1:13" ht="63.75" customHeight="1" x14ac:dyDescent="0.25">
      <c r="A29" s="73" t="s">
        <v>31</v>
      </c>
      <c r="B29" s="45" t="s">
        <v>32</v>
      </c>
      <c r="C29" s="45" t="s">
        <v>33</v>
      </c>
      <c r="D29" s="46" t="s">
        <v>34</v>
      </c>
      <c r="E29" s="46" t="s">
        <v>209</v>
      </c>
      <c r="F29" s="152" t="s">
        <v>669</v>
      </c>
      <c r="G29" s="27">
        <f t="shared" si="0"/>
        <v>975149</v>
      </c>
      <c r="H29" s="28">
        <f>235745+222404</f>
        <v>458149</v>
      </c>
      <c r="I29" s="28">
        <v>517000</v>
      </c>
      <c r="J29" s="29">
        <f>I29</f>
        <v>517000</v>
      </c>
    </row>
    <row r="30" spans="1:13" ht="31.5" hidden="1" x14ac:dyDescent="0.25">
      <c r="A30" s="73" t="s">
        <v>31</v>
      </c>
      <c r="B30" s="45" t="s">
        <v>32</v>
      </c>
      <c r="C30" s="45" t="s">
        <v>33</v>
      </c>
      <c r="D30" s="59" t="s">
        <v>34</v>
      </c>
      <c r="E30" s="46"/>
      <c r="F30" s="46"/>
      <c r="G30" s="8">
        <f t="shared" si="0"/>
        <v>0</v>
      </c>
      <c r="H30" s="28"/>
      <c r="I30" s="28">
        <v>0</v>
      </c>
      <c r="J30" s="29">
        <v>0</v>
      </c>
    </row>
    <row r="31" spans="1:13" ht="141.75" x14ac:dyDescent="0.25">
      <c r="A31" s="171" t="s">
        <v>260</v>
      </c>
      <c r="B31" s="132" t="s">
        <v>261</v>
      </c>
      <c r="C31" s="132" t="s">
        <v>217</v>
      </c>
      <c r="D31" s="133" t="s">
        <v>262</v>
      </c>
      <c r="E31" s="46" t="s">
        <v>175</v>
      </c>
      <c r="F31" s="170" t="s">
        <v>299</v>
      </c>
      <c r="G31" s="8">
        <f t="shared" ref="G31" si="1">H31+I31</f>
        <v>93504</v>
      </c>
      <c r="H31" s="31">
        <v>0</v>
      </c>
      <c r="I31" s="31">
        <v>93504</v>
      </c>
      <c r="J31" s="32">
        <v>0</v>
      </c>
    </row>
    <row r="32" spans="1:13" ht="78.75" x14ac:dyDescent="0.25">
      <c r="A32" s="161" t="s">
        <v>231</v>
      </c>
      <c r="B32" s="74">
        <v>8110</v>
      </c>
      <c r="C32" s="140" t="s">
        <v>232</v>
      </c>
      <c r="D32" s="180" t="s">
        <v>233</v>
      </c>
      <c r="E32" s="46" t="s">
        <v>264</v>
      </c>
      <c r="F32" s="156" t="s">
        <v>637</v>
      </c>
      <c r="G32" s="8">
        <f t="shared" si="0"/>
        <v>79145</v>
      </c>
      <c r="H32" s="28">
        <f>7200+71945</f>
        <v>79145</v>
      </c>
      <c r="I32" s="31">
        <v>0</v>
      </c>
      <c r="J32" s="32">
        <v>0</v>
      </c>
    </row>
    <row r="33" spans="1:13" ht="110.25" x14ac:dyDescent="0.25">
      <c r="A33" s="171" t="s">
        <v>231</v>
      </c>
      <c r="B33" s="896">
        <v>8110</v>
      </c>
      <c r="C33" s="134" t="s">
        <v>232</v>
      </c>
      <c r="D33" s="183" t="s">
        <v>233</v>
      </c>
      <c r="E33" s="30" t="s">
        <v>296</v>
      </c>
      <c r="F33" s="158" t="s">
        <v>670</v>
      </c>
      <c r="G33" s="8">
        <f t="shared" si="0"/>
        <v>1665050</v>
      </c>
      <c r="H33" s="31">
        <v>1665050</v>
      </c>
      <c r="I33" s="31"/>
      <c r="J33" s="32"/>
    </row>
    <row r="34" spans="1:13" ht="63" x14ac:dyDescent="0.25">
      <c r="A34" s="894" t="s">
        <v>35</v>
      </c>
      <c r="B34" s="117" t="s">
        <v>36</v>
      </c>
      <c r="C34" s="117" t="s">
        <v>37</v>
      </c>
      <c r="D34" s="56" t="s">
        <v>38</v>
      </c>
      <c r="E34" s="30" t="s">
        <v>156</v>
      </c>
      <c r="F34" s="52" t="s">
        <v>277</v>
      </c>
      <c r="G34" s="8">
        <f t="shared" si="0"/>
        <v>12000</v>
      </c>
      <c r="H34" s="31">
        <f>99500-87500</f>
        <v>12000</v>
      </c>
      <c r="I34" s="31">
        <v>0</v>
      </c>
      <c r="J34" s="32">
        <v>0</v>
      </c>
    </row>
    <row r="35" spans="1:13" ht="78" customHeight="1" x14ac:dyDescent="0.25">
      <c r="A35" s="162" t="s">
        <v>173</v>
      </c>
      <c r="B35" s="896">
        <v>8230</v>
      </c>
      <c r="C35" s="117" t="s">
        <v>37</v>
      </c>
      <c r="D35" s="57" t="s">
        <v>174</v>
      </c>
      <c r="E35" s="114" t="s">
        <v>210</v>
      </c>
      <c r="F35" s="52" t="s">
        <v>650</v>
      </c>
      <c r="G35" s="8">
        <f t="shared" si="0"/>
        <v>17315214</v>
      </c>
      <c r="H35" s="53">
        <v>17315214</v>
      </c>
      <c r="I35" s="31">
        <v>0</v>
      </c>
      <c r="J35" s="32">
        <v>0</v>
      </c>
    </row>
    <row r="36" spans="1:13" ht="114.6" customHeight="1" x14ac:dyDescent="0.25">
      <c r="A36" s="163" t="s">
        <v>239</v>
      </c>
      <c r="B36" s="138" t="s">
        <v>240</v>
      </c>
      <c r="C36" s="138" t="s">
        <v>37</v>
      </c>
      <c r="D36" s="143" t="s">
        <v>172</v>
      </c>
      <c r="E36" s="141" t="s">
        <v>266</v>
      </c>
      <c r="F36" s="170" t="s">
        <v>299</v>
      </c>
      <c r="G36" s="8">
        <f t="shared" si="0"/>
        <v>755000</v>
      </c>
      <c r="H36" s="31">
        <v>0</v>
      </c>
      <c r="I36" s="35">
        <v>755000</v>
      </c>
      <c r="J36" s="144">
        <v>755000</v>
      </c>
    </row>
    <row r="37" spans="1:13" ht="118.15" customHeight="1" x14ac:dyDescent="0.25">
      <c r="A37" s="164" t="s">
        <v>39</v>
      </c>
      <c r="B37" s="9" t="s">
        <v>40</v>
      </c>
      <c r="C37" s="9" t="s">
        <v>41</v>
      </c>
      <c r="D37" s="109" t="s">
        <v>42</v>
      </c>
      <c r="E37" s="33" t="s">
        <v>157</v>
      </c>
      <c r="F37" s="94" t="s">
        <v>671</v>
      </c>
      <c r="G37" s="34">
        <f t="shared" si="0"/>
        <v>3075503</v>
      </c>
      <c r="H37" s="35">
        <f>3002306+46255</f>
        <v>3048561</v>
      </c>
      <c r="I37" s="35">
        <v>26942</v>
      </c>
      <c r="J37" s="36">
        <f>I37</f>
        <v>26942</v>
      </c>
    </row>
    <row r="38" spans="1:13" ht="82.5" customHeight="1" x14ac:dyDescent="0.25">
      <c r="A38" s="171" t="s">
        <v>234</v>
      </c>
      <c r="B38" s="896">
        <v>9800</v>
      </c>
      <c r="C38" s="134" t="s">
        <v>221</v>
      </c>
      <c r="D38" s="135" t="s">
        <v>235</v>
      </c>
      <c r="E38" s="33" t="s">
        <v>265</v>
      </c>
      <c r="F38" s="156" t="s">
        <v>300</v>
      </c>
      <c r="G38" s="34">
        <f t="shared" si="0"/>
        <v>1800000</v>
      </c>
      <c r="H38" s="35">
        <f>1000000+800000</f>
        <v>1800000</v>
      </c>
      <c r="I38" s="35">
        <v>0</v>
      </c>
      <c r="J38" s="36">
        <v>0</v>
      </c>
    </row>
    <row r="39" spans="1:13" ht="82.5" customHeight="1" x14ac:dyDescent="0.25">
      <c r="A39" s="171" t="s">
        <v>234</v>
      </c>
      <c r="B39" s="896">
        <v>9800</v>
      </c>
      <c r="C39" s="134" t="s">
        <v>221</v>
      </c>
      <c r="D39" s="135" t="s">
        <v>235</v>
      </c>
      <c r="E39" s="184" t="s">
        <v>270</v>
      </c>
      <c r="F39" s="158" t="s">
        <v>272</v>
      </c>
      <c r="G39" s="8">
        <f t="shared" si="0"/>
        <v>900000</v>
      </c>
      <c r="H39" s="31">
        <v>0</v>
      </c>
      <c r="I39" s="31">
        <v>900000</v>
      </c>
      <c r="J39" s="32">
        <v>900000</v>
      </c>
    </row>
    <row r="40" spans="1:13" ht="121.15" customHeight="1" x14ac:dyDescent="0.25">
      <c r="A40" s="163" t="s">
        <v>234</v>
      </c>
      <c r="B40" s="169">
        <v>9800</v>
      </c>
      <c r="C40" s="168" t="s">
        <v>221</v>
      </c>
      <c r="D40" s="149" t="s">
        <v>235</v>
      </c>
      <c r="E40" s="33" t="s">
        <v>175</v>
      </c>
      <c r="F40" s="170" t="s">
        <v>299</v>
      </c>
      <c r="G40" s="34">
        <f t="shared" si="0"/>
        <v>15965000</v>
      </c>
      <c r="H40" s="115">
        <f>8400000-6950000+2000000+1000000+1050000+3000000</f>
        <v>8500000</v>
      </c>
      <c r="I40" s="115">
        <f>6950000+515000</f>
        <v>7465000</v>
      </c>
      <c r="J40" s="36">
        <f>I40</f>
        <v>7465000</v>
      </c>
    </row>
    <row r="41" spans="1:13" s="176" customFormat="1" ht="94.5" x14ac:dyDescent="0.25">
      <c r="A41" s="171" t="s">
        <v>234</v>
      </c>
      <c r="B41" s="896">
        <v>9800</v>
      </c>
      <c r="C41" s="134" t="s">
        <v>221</v>
      </c>
      <c r="D41" s="172" t="s">
        <v>235</v>
      </c>
      <c r="E41" s="131" t="s">
        <v>281</v>
      </c>
      <c r="F41" s="52" t="s">
        <v>282</v>
      </c>
      <c r="G41" s="8">
        <f t="shared" si="0"/>
        <v>315500</v>
      </c>
      <c r="H41" s="173">
        <v>225900</v>
      </c>
      <c r="I41" s="174">
        <v>89600</v>
      </c>
      <c r="J41" s="175">
        <f>I41</f>
        <v>89600</v>
      </c>
    </row>
    <row r="42" spans="1:13" s="176" customFormat="1" ht="127.15" customHeight="1" x14ac:dyDescent="0.25">
      <c r="A42" s="171" t="s">
        <v>297</v>
      </c>
      <c r="B42" s="132">
        <v>9770</v>
      </c>
      <c r="C42" s="132" t="s">
        <v>221</v>
      </c>
      <c r="D42" s="133" t="s">
        <v>237</v>
      </c>
      <c r="E42" s="30" t="s">
        <v>175</v>
      </c>
      <c r="F42" s="156" t="s">
        <v>299</v>
      </c>
      <c r="G42" s="8">
        <f>H42</f>
        <v>26500000</v>
      </c>
      <c r="H42" s="173">
        <v>26500000</v>
      </c>
      <c r="I42" s="174"/>
      <c r="J42" s="175"/>
    </row>
    <row r="43" spans="1:13" ht="48" thickBot="1" x14ac:dyDescent="0.3">
      <c r="A43" s="145" t="s">
        <v>43</v>
      </c>
      <c r="B43" s="185" t="s">
        <v>16</v>
      </c>
      <c r="C43" s="185" t="s">
        <v>16</v>
      </c>
      <c r="D43" s="186" t="s">
        <v>44</v>
      </c>
      <c r="E43" s="187" t="s">
        <v>16</v>
      </c>
      <c r="F43" s="187" t="s">
        <v>16</v>
      </c>
      <c r="G43" s="58">
        <f t="shared" ref="G43:G88" si="2">H43+I43</f>
        <v>14412984</v>
      </c>
      <c r="H43" s="188">
        <f>H44</f>
        <v>14007214</v>
      </c>
      <c r="I43" s="188">
        <f>I44</f>
        <v>405770</v>
      </c>
      <c r="J43" s="189">
        <f>J44</f>
        <v>391595</v>
      </c>
      <c r="K43" s="10">
        <f>I43-J43</f>
        <v>14175</v>
      </c>
    </row>
    <row r="44" spans="1:13" ht="52.15" customHeight="1" x14ac:dyDescent="0.25">
      <c r="A44" s="165" t="s">
        <v>45</v>
      </c>
      <c r="B44" s="25" t="s">
        <v>16</v>
      </c>
      <c r="C44" s="25" t="s">
        <v>16</v>
      </c>
      <c r="D44" s="55" t="s">
        <v>44</v>
      </c>
      <c r="E44" s="26" t="s">
        <v>16</v>
      </c>
      <c r="F44" s="26" t="s">
        <v>16</v>
      </c>
      <c r="G44" s="37">
        <f>H44+I44</f>
        <v>14412984</v>
      </c>
      <c r="H44" s="38">
        <f>H45+H46+H47+H48+H49+H50+H51+H52+H53</f>
        <v>14007214</v>
      </c>
      <c r="I44" s="38">
        <f>I45+I46+I47+I48+I49+I50+I51+I52+I53</f>
        <v>405770</v>
      </c>
      <c r="J44" s="39">
        <f>J45+J46+J47+J48+J49+J50+J51+J52</f>
        <v>391595</v>
      </c>
    </row>
    <row r="45" spans="1:13" ht="63" x14ac:dyDescent="0.25">
      <c r="A45" s="894" t="s">
        <v>46</v>
      </c>
      <c r="B45" s="117" t="s">
        <v>47</v>
      </c>
      <c r="C45" s="117" t="s">
        <v>48</v>
      </c>
      <c r="D45" s="56" t="s">
        <v>49</v>
      </c>
      <c r="E45" s="30" t="s">
        <v>158</v>
      </c>
      <c r="F45" s="158" t="s">
        <v>672</v>
      </c>
      <c r="G45" s="8">
        <f t="shared" ref="G45:G52" si="3">H45+I45</f>
        <v>504252</v>
      </c>
      <c r="H45" s="31">
        <f>208488+10709+48411+141979+94665</f>
        <v>504252</v>
      </c>
      <c r="I45" s="31">
        <v>0</v>
      </c>
      <c r="J45" s="32">
        <v>0</v>
      </c>
    </row>
    <row r="46" spans="1:13" ht="63" x14ac:dyDescent="0.25">
      <c r="A46" s="894" t="s">
        <v>50</v>
      </c>
      <c r="B46" s="117" t="s">
        <v>51</v>
      </c>
      <c r="C46" s="117" t="s">
        <v>52</v>
      </c>
      <c r="D46" s="56" t="s">
        <v>230</v>
      </c>
      <c r="E46" s="30" t="s">
        <v>158</v>
      </c>
      <c r="F46" s="158" t="s">
        <v>672</v>
      </c>
      <c r="G46" s="8">
        <f>H46+I46</f>
        <v>13426622</v>
      </c>
      <c r="H46" s="53">
        <f>4118423+108930+1434318+2980000+1314500+2536226+119850+470630</f>
        <v>13082877</v>
      </c>
      <c r="I46" s="31">
        <f>J46</f>
        <v>343745</v>
      </c>
      <c r="J46" s="32">
        <f>168195+175550</f>
        <v>343745</v>
      </c>
      <c r="L46" s="197"/>
      <c r="M46" s="197"/>
    </row>
    <row r="47" spans="1:13" ht="63" x14ac:dyDescent="0.25">
      <c r="A47" s="894" t="s">
        <v>53</v>
      </c>
      <c r="B47" s="117" t="s">
        <v>54</v>
      </c>
      <c r="C47" s="117" t="s">
        <v>55</v>
      </c>
      <c r="D47" s="56" t="s">
        <v>56</v>
      </c>
      <c r="E47" s="30" t="s">
        <v>158</v>
      </c>
      <c r="F47" s="158" t="s">
        <v>672</v>
      </c>
      <c r="G47" s="8">
        <f t="shared" si="3"/>
        <v>30047</v>
      </c>
      <c r="H47" s="31">
        <f>24467+5580</f>
        <v>30047</v>
      </c>
      <c r="I47" s="31">
        <v>0</v>
      </c>
      <c r="J47" s="32">
        <v>0</v>
      </c>
    </row>
    <row r="48" spans="1:13" ht="63" x14ac:dyDescent="0.25">
      <c r="A48" s="894" t="s">
        <v>58</v>
      </c>
      <c r="B48" s="117" t="s">
        <v>59</v>
      </c>
      <c r="C48" s="117" t="s">
        <v>57</v>
      </c>
      <c r="D48" s="56" t="s">
        <v>60</v>
      </c>
      <c r="E48" s="30" t="s">
        <v>158</v>
      </c>
      <c r="F48" s="158" t="s">
        <v>672</v>
      </c>
      <c r="G48" s="8">
        <f t="shared" si="3"/>
        <v>18100</v>
      </c>
      <c r="H48" s="31">
        <v>18100</v>
      </c>
      <c r="I48" s="31">
        <v>0</v>
      </c>
      <c r="J48" s="32">
        <v>0</v>
      </c>
    </row>
    <row r="49" spans="1:11" ht="63" x14ac:dyDescent="0.25">
      <c r="A49" s="894" t="s">
        <v>61</v>
      </c>
      <c r="B49" s="117" t="s">
        <v>62</v>
      </c>
      <c r="C49" s="117" t="s">
        <v>57</v>
      </c>
      <c r="D49" s="56" t="s">
        <v>63</v>
      </c>
      <c r="E49" s="30" t="s">
        <v>158</v>
      </c>
      <c r="F49" s="158" t="s">
        <v>672</v>
      </c>
      <c r="G49" s="8">
        <f t="shared" si="3"/>
        <v>4551</v>
      </c>
      <c r="H49" s="31">
        <f>3458+1093</f>
        <v>4551</v>
      </c>
      <c r="I49" s="31">
        <v>0</v>
      </c>
      <c r="J49" s="32">
        <v>0</v>
      </c>
    </row>
    <row r="50" spans="1:11" ht="63" x14ac:dyDescent="0.25">
      <c r="A50" s="894" t="s">
        <v>64</v>
      </c>
      <c r="B50" s="117" t="s">
        <v>65</v>
      </c>
      <c r="C50" s="117" t="s">
        <v>57</v>
      </c>
      <c r="D50" s="56" t="s">
        <v>66</v>
      </c>
      <c r="E50" s="30" t="s">
        <v>159</v>
      </c>
      <c r="F50" s="158" t="s">
        <v>672</v>
      </c>
      <c r="G50" s="8">
        <f t="shared" si="3"/>
        <v>10005</v>
      </c>
      <c r="H50" s="31">
        <v>10005</v>
      </c>
      <c r="I50" s="31">
        <v>0</v>
      </c>
      <c r="J50" s="32">
        <v>0</v>
      </c>
    </row>
    <row r="51" spans="1:11" ht="94.5" x14ac:dyDescent="0.25">
      <c r="A51" s="894" t="s">
        <v>67</v>
      </c>
      <c r="B51" s="117" t="s">
        <v>68</v>
      </c>
      <c r="C51" s="117" t="s">
        <v>69</v>
      </c>
      <c r="D51" s="56" t="s">
        <v>70</v>
      </c>
      <c r="E51" s="30" t="s">
        <v>160</v>
      </c>
      <c r="F51" s="52" t="s">
        <v>171</v>
      </c>
      <c r="G51" s="8">
        <f t="shared" si="3"/>
        <v>357382</v>
      </c>
      <c r="H51" s="31">
        <v>357382</v>
      </c>
      <c r="I51" s="31">
        <v>0</v>
      </c>
      <c r="J51" s="32">
        <v>0</v>
      </c>
    </row>
    <row r="52" spans="1:11" ht="78.75" x14ac:dyDescent="0.25">
      <c r="A52" s="161" t="s">
        <v>241</v>
      </c>
      <c r="B52" s="150" t="s">
        <v>242</v>
      </c>
      <c r="C52" s="140" t="s">
        <v>232</v>
      </c>
      <c r="D52" s="153" t="s">
        <v>233</v>
      </c>
      <c r="E52" s="60" t="s">
        <v>267</v>
      </c>
      <c r="F52" s="156" t="s">
        <v>637</v>
      </c>
      <c r="G52" s="8">
        <f t="shared" si="3"/>
        <v>47850</v>
      </c>
      <c r="H52" s="28">
        <f>423000-423000</f>
        <v>0</v>
      </c>
      <c r="I52" s="28">
        <v>47850</v>
      </c>
      <c r="J52" s="29">
        <v>47850</v>
      </c>
    </row>
    <row r="53" spans="1:11" ht="79.5" thickBot="1" x14ac:dyDescent="0.3">
      <c r="A53" s="810" t="s">
        <v>661</v>
      </c>
      <c r="B53" s="136" t="s">
        <v>143</v>
      </c>
      <c r="C53" s="117" t="s">
        <v>144</v>
      </c>
      <c r="D53" s="56" t="s">
        <v>145</v>
      </c>
      <c r="E53" s="30" t="s">
        <v>168</v>
      </c>
      <c r="F53" s="131" t="s">
        <v>640</v>
      </c>
      <c r="G53" s="154">
        <f>H53+I53</f>
        <v>14175</v>
      </c>
      <c r="H53" s="178"/>
      <c r="I53" s="121">
        <v>14175</v>
      </c>
      <c r="J53" s="898"/>
    </row>
    <row r="54" spans="1:11" ht="58.15" customHeight="1" thickBot="1" x14ac:dyDescent="0.3">
      <c r="A54" s="159" t="s">
        <v>71</v>
      </c>
      <c r="B54" s="20" t="s">
        <v>16</v>
      </c>
      <c r="C54" s="20" t="s">
        <v>16</v>
      </c>
      <c r="D54" s="108" t="s">
        <v>72</v>
      </c>
      <c r="E54" s="21" t="s">
        <v>16</v>
      </c>
      <c r="F54" s="21" t="s">
        <v>16</v>
      </c>
      <c r="G54" s="22">
        <f t="shared" si="2"/>
        <v>12208350</v>
      </c>
      <c r="H54" s="23">
        <f>H55</f>
        <v>12208350</v>
      </c>
      <c r="I54" s="23">
        <f>I55</f>
        <v>0</v>
      </c>
      <c r="J54" s="24">
        <f>J55</f>
        <v>0</v>
      </c>
      <c r="K54" s="10">
        <f>I54-J54</f>
        <v>0</v>
      </c>
    </row>
    <row r="55" spans="1:11" ht="47.25" x14ac:dyDescent="0.25">
      <c r="A55" s="165" t="s">
        <v>73</v>
      </c>
      <c r="B55" s="25" t="s">
        <v>16</v>
      </c>
      <c r="C55" s="25" t="s">
        <v>16</v>
      </c>
      <c r="D55" s="55" t="s">
        <v>72</v>
      </c>
      <c r="E55" s="26" t="s">
        <v>16</v>
      </c>
      <c r="F55" s="26" t="s">
        <v>16</v>
      </c>
      <c r="G55" s="37">
        <f>H55+I55</f>
        <v>12208350</v>
      </c>
      <c r="H55" s="38">
        <f>H56+H57+H58+H59</f>
        <v>12208350</v>
      </c>
      <c r="I55" s="38">
        <f>I56+I57+I58</f>
        <v>0</v>
      </c>
      <c r="J55" s="39">
        <f>J56+J57+J58</f>
        <v>0</v>
      </c>
    </row>
    <row r="56" spans="1:11" ht="110.25" x14ac:dyDescent="0.25">
      <c r="A56" s="894" t="s">
        <v>74</v>
      </c>
      <c r="B56" s="117" t="s">
        <v>75</v>
      </c>
      <c r="C56" s="117" t="s">
        <v>76</v>
      </c>
      <c r="D56" s="56" t="s">
        <v>77</v>
      </c>
      <c r="E56" s="30" t="s">
        <v>293</v>
      </c>
      <c r="F56" s="30" t="s">
        <v>294</v>
      </c>
      <c r="G56" s="8">
        <f t="shared" si="2"/>
        <v>15000</v>
      </c>
      <c r="H56" s="31">
        <v>15000</v>
      </c>
      <c r="I56" s="31">
        <v>0</v>
      </c>
      <c r="J56" s="32">
        <v>0</v>
      </c>
    </row>
    <row r="57" spans="1:11" ht="110.25" x14ac:dyDescent="0.25">
      <c r="A57" s="894" t="s">
        <v>78</v>
      </c>
      <c r="B57" s="117" t="s">
        <v>79</v>
      </c>
      <c r="C57" s="117" t="s">
        <v>54</v>
      </c>
      <c r="D57" s="56" t="s">
        <v>80</v>
      </c>
      <c r="E57" s="30" t="s">
        <v>293</v>
      </c>
      <c r="F57" s="30" t="s">
        <v>294</v>
      </c>
      <c r="G57" s="8">
        <f t="shared" si="2"/>
        <v>18450</v>
      </c>
      <c r="H57" s="31">
        <v>18450</v>
      </c>
      <c r="I57" s="31">
        <v>0</v>
      </c>
      <c r="J57" s="32">
        <v>0</v>
      </c>
    </row>
    <row r="58" spans="1:11" ht="63" x14ac:dyDescent="0.25">
      <c r="A58" s="894" t="s">
        <v>82</v>
      </c>
      <c r="B58" s="117" t="s">
        <v>83</v>
      </c>
      <c r="C58" s="117" t="s">
        <v>81</v>
      </c>
      <c r="D58" s="56" t="s">
        <v>84</v>
      </c>
      <c r="E58" s="30" t="s">
        <v>162</v>
      </c>
      <c r="F58" s="158" t="s">
        <v>635</v>
      </c>
      <c r="G58" s="8">
        <f>H58+I58</f>
        <v>11274900</v>
      </c>
      <c r="H58" s="31">
        <f>11199600+92400-17100</f>
        <v>11274900</v>
      </c>
      <c r="I58" s="31">
        <v>0</v>
      </c>
      <c r="J58" s="32">
        <v>0</v>
      </c>
    </row>
    <row r="59" spans="1:11" ht="140.44999999999999" customHeight="1" thickBot="1" x14ac:dyDescent="0.3">
      <c r="A59" s="166" t="s">
        <v>82</v>
      </c>
      <c r="B59" s="16" t="s">
        <v>83</v>
      </c>
      <c r="C59" s="16" t="s">
        <v>81</v>
      </c>
      <c r="D59" s="190" t="s">
        <v>84</v>
      </c>
      <c r="E59" s="152" t="s">
        <v>306</v>
      </c>
      <c r="F59" s="152" t="s">
        <v>636</v>
      </c>
      <c r="G59" s="181">
        <f t="shared" si="2"/>
        <v>900000</v>
      </c>
      <c r="H59" s="178">
        <v>900000</v>
      </c>
      <c r="I59" s="178"/>
      <c r="J59" s="179"/>
    </row>
    <row r="60" spans="1:11" ht="55.5" customHeight="1" thickBot="1" x14ac:dyDescent="0.3">
      <c r="A60" s="159" t="s">
        <v>85</v>
      </c>
      <c r="B60" s="20" t="s">
        <v>16</v>
      </c>
      <c r="C60" s="20" t="s">
        <v>16</v>
      </c>
      <c r="D60" s="108" t="s">
        <v>86</v>
      </c>
      <c r="E60" s="21" t="s">
        <v>16</v>
      </c>
      <c r="F60" s="21" t="s">
        <v>16</v>
      </c>
      <c r="G60" s="22">
        <f t="shared" si="2"/>
        <v>36000</v>
      </c>
      <c r="H60" s="23">
        <f t="shared" ref="H60:J61" si="4">H61</f>
        <v>36000</v>
      </c>
      <c r="I60" s="23">
        <f t="shared" si="4"/>
        <v>0</v>
      </c>
      <c r="J60" s="24">
        <f t="shared" si="4"/>
        <v>0</v>
      </c>
      <c r="K60" s="10">
        <f>I60-J60</f>
        <v>0</v>
      </c>
    </row>
    <row r="61" spans="1:11" ht="47.25" x14ac:dyDescent="0.25">
      <c r="A61" s="160" t="s">
        <v>87</v>
      </c>
      <c r="B61" s="40" t="s">
        <v>16</v>
      </c>
      <c r="C61" s="40" t="s">
        <v>16</v>
      </c>
      <c r="D61" s="110" t="s">
        <v>86</v>
      </c>
      <c r="E61" s="41" t="s">
        <v>16</v>
      </c>
      <c r="F61" s="41" t="s">
        <v>16</v>
      </c>
      <c r="G61" s="42">
        <f>H61+I61</f>
        <v>36000</v>
      </c>
      <c r="H61" s="43">
        <f t="shared" si="4"/>
        <v>36000</v>
      </c>
      <c r="I61" s="43">
        <f t="shared" si="4"/>
        <v>0</v>
      </c>
      <c r="J61" s="44">
        <f t="shared" si="4"/>
        <v>0</v>
      </c>
    </row>
    <row r="62" spans="1:11" ht="63.75" thickBot="1" x14ac:dyDescent="0.3">
      <c r="A62" s="895" t="s">
        <v>88</v>
      </c>
      <c r="B62" s="897" t="s">
        <v>89</v>
      </c>
      <c r="C62" s="897" t="s">
        <v>69</v>
      </c>
      <c r="D62" s="118" t="s">
        <v>90</v>
      </c>
      <c r="E62" s="119" t="s">
        <v>163</v>
      </c>
      <c r="F62" s="119" t="s">
        <v>271</v>
      </c>
      <c r="G62" s="120">
        <f>H62</f>
        <v>36000</v>
      </c>
      <c r="H62" s="121">
        <v>36000</v>
      </c>
      <c r="I62" s="121">
        <v>0</v>
      </c>
      <c r="J62" s="122">
        <v>0</v>
      </c>
    </row>
    <row r="63" spans="1:11" ht="63.75" thickBot="1" x14ac:dyDescent="0.3">
      <c r="A63" s="159" t="s">
        <v>91</v>
      </c>
      <c r="B63" s="20" t="s">
        <v>16</v>
      </c>
      <c r="C63" s="20" t="s">
        <v>16</v>
      </c>
      <c r="D63" s="108" t="s">
        <v>92</v>
      </c>
      <c r="E63" s="21" t="s">
        <v>16</v>
      </c>
      <c r="F63" s="21" t="s">
        <v>16</v>
      </c>
      <c r="G63" s="22">
        <f t="shared" si="2"/>
        <v>33534698</v>
      </c>
      <c r="H63" s="23">
        <f>H64</f>
        <v>33534698</v>
      </c>
      <c r="I63" s="23">
        <f>I64</f>
        <v>0</v>
      </c>
      <c r="J63" s="24">
        <f>J64</f>
        <v>0</v>
      </c>
      <c r="K63" s="10">
        <f>I63-J63</f>
        <v>0</v>
      </c>
    </row>
    <row r="64" spans="1:11" ht="63" x14ac:dyDescent="0.25">
      <c r="A64" s="165" t="s">
        <v>93</v>
      </c>
      <c r="B64" s="25" t="s">
        <v>16</v>
      </c>
      <c r="C64" s="25" t="s">
        <v>16</v>
      </c>
      <c r="D64" s="55" t="s">
        <v>92</v>
      </c>
      <c r="E64" s="26" t="s">
        <v>16</v>
      </c>
      <c r="F64" s="26" t="s">
        <v>16</v>
      </c>
      <c r="G64" s="38">
        <f>G65+G66+G67+G68+G69+G70+G71+G72+G74+G75+G73+G76+G77</f>
        <v>33534698</v>
      </c>
      <c r="H64" s="38">
        <f>H65+H66+H67+H68+H69+H70+H71+H72+H74+H75+H73+H76+H77</f>
        <v>33534698</v>
      </c>
      <c r="I64" s="38">
        <f>I65+I66+I67+I68+I69+I70+I71+I72+I74+I75+I73</f>
        <v>0</v>
      </c>
      <c r="J64" s="39">
        <f>J65+J66+J67+J68+J69+J70+J71+J72+J74+J75+J73</f>
        <v>0</v>
      </c>
    </row>
    <row r="65" spans="1:11" ht="63" x14ac:dyDescent="0.25">
      <c r="A65" s="894" t="s">
        <v>94</v>
      </c>
      <c r="B65" s="117" t="s">
        <v>95</v>
      </c>
      <c r="C65" s="117" t="s">
        <v>55</v>
      </c>
      <c r="D65" s="56" t="s">
        <v>96</v>
      </c>
      <c r="E65" s="30" t="s">
        <v>164</v>
      </c>
      <c r="F65" s="30" t="s">
        <v>275</v>
      </c>
      <c r="G65" s="8">
        <f t="shared" si="2"/>
        <v>34641</v>
      </c>
      <c r="H65" s="31">
        <f>23912+10729</f>
        <v>34641</v>
      </c>
      <c r="I65" s="31">
        <v>0</v>
      </c>
      <c r="J65" s="32">
        <v>0</v>
      </c>
    </row>
    <row r="66" spans="1:11" ht="63" x14ac:dyDescent="0.25">
      <c r="A66" s="894" t="s">
        <v>97</v>
      </c>
      <c r="B66" s="117" t="s">
        <v>98</v>
      </c>
      <c r="C66" s="117" t="s">
        <v>69</v>
      </c>
      <c r="D66" s="56" t="s">
        <v>99</v>
      </c>
      <c r="E66" s="30" t="s">
        <v>161</v>
      </c>
      <c r="F66" s="158" t="s">
        <v>634</v>
      </c>
      <c r="G66" s="8">
        <f t="shared" si="2"/>
        <v>168000</v>
      </c>
      <c r="H66" s="31">
        <f>33600+106400+28000</f>
        <v>168000</v>
      </c>
      <c r="I66" s="31">
        <v>0</v>
      </c>
      <c r="J66" s="32">
        <v>0</v>
      </c>
    </row>
    <row r="67" spans="1:11" ht="67.5" customHeight="1" x14ac:dyDescent="0.25">
      <c r="A67" s="894" t="s">
        <v>100</v>
      </c>
      <c r="B67" s="117" t="s">
        <v>101</v>
      </c>
      <c r="C67" s="117" t="s">
        <v>102</v>
      </c>
      <c r="D67" s="56" t="s">
        <v>103</v>
      </c>
      <c r="E67" s="30" t="s">
        <v>164</v>
      </c>
      <c r="F67" s="30" t="s">
        <v>275</v>
      </c>
      <c r="G67" s="8">
        <f t="shared" si="2"/>
        <v>13997</v>
      </c>
      <c r="H67" s="31">
        <f>11224+2773</f>
        <v>13997</v>
      </c>
      <c r="I67" s="31">
        <v>0</v>
      </c>
      <c r="J67" s="32">
        <v>0</v>
      </c>
    </row>
    <row r="68" spans="1:11" ht="69" customHeight="1" x14ac:dyDescent="0.25">
      <c r="A68" s="894" t="s">
        <v>104</v>
      </c>
      <c r="B68" s="117" t="s">
        <v>105</v>
      </c>
      <c r="C68" s="117" t="s">
        <v>102</v>
      </c>
      <c r="D68" s="56" t="s">
        <v>106</v>
      </c>
      <c r="E68" s="30" t="s">
        <v>164</v>
      </c>
      <c r="F68" s="30" t="s">
        <v>275</v>
      </c>
      <c r="G68" s="8">
        <f t="shared" si="2"/>
        <v>3226</v>
      </c>
      <c r="H68" s="31">
        <f>1100+2126</f>
        <v>3226</v>
      </c>
      <c r="I68" s="31">
        <v>0</v>
      </c>
      <c r="J68" s="32">
        <v>0</v>
      </c>
    </row>
    <row r="69" spans="1:11" ht="63" x14ac:dyDescent="0.25">
      <c r="A69" s="894" t="s">
        <v>107</v>
      </c>
      <c r="B69" s="117" t="s">
        <v>108</v>
      </c>
      <c r="C69" s="117" t="s">
        <v>109</v>
      </c>
      <c r="D69" s="56" t="s">
        <v>110</v>
      </c>
      <c r="E69" s="30" t="s">
        <v>164</v>
      </c>
      <c r="F69" s="30" t="s">
        <v>275</v>
      </c>
      <c r="G69" s="8">
        <f t="shared" si="2"/>
        <v>34408</v>
      </c>
      <c r="H69" s="31">
        <f>23780+10628</f>
        <v>34408</v>
      </c>
      <c r="I69" s="31">
        <v>0</v>
      </c>
      <c r="J69" s="32">
        <v>0</v>
      </c>
    </row>
    <row r="70" spans="1:11" ht="63" x14ac:dyDescent="0.25">
      <c r="A70" s="894" t="s">
        <v>112</v>
      </c>
      <c r="B70" s="117" t="s">
        <v>113</v>
      </c>
      <c r="C70" s="117" t="s">
        <v>111</v>
      </c>
      <c r="D70" s="56" t="s">
        <v>114</v>
      </c>
      <c r="E70" s="30" t="s">
        <v>164</v>
      </c>
      <c r="F70" s="30" t="s">
        <v>275</v>
      </c>
      <c r="G70" s="8">
        <f t="shared" si="2"/>
        <v>194000</v>
      </c>
      <c r="H70" s="53">
        <f>75200+94800+24000</f>
        <v>194000</v>
      </c>
      <c r="I70" s="31">
        <v>0</v>
      </c>
      <c r="J70" s="32">
        <v>0</v>
      </c>
    </row>
    <row r="71" spans="1:11" ht="78" customHeight="1" x14ac:dyDescent="0.25">
      <c r="A71" s="894" t="s">
        <v>115</v>
      </c>
      <c r="B71" s="117" t="s">
        <v>116</v>
      </c>
      <c r="C71" s="117" t="s">
        <v>117</v>
      </c>
      <c r="D71" s="56" t="s">
        <v>118</v>
      </c>
      <c r="E71" s="30" t="s">
        <v>165</v>
      </c>
      <c r="F71" s="30" t="s">
        <v>633</v>
      </c>
      <c r="G71" s="8">
        <f t="shared" si="2"/>
        <v>21000</v>
      </c>
      <c r="H71" s="31">
        <v>21000</v>
      </c>
      <c r="I71" s="31">
        <v>0</v>
      </c>
      <c r="J71" s="32">
        <v>0</v>
      </c>
    </row>
    <row r="72" spans="1:11" ht="63" x14ac:dyDescent="0.25">
      <c r="A72" s="894" t="s">
        <v>119</v>
      </c>
      <c r="B72" s="117" t="s">
        <v>120</v>
      </c>
      <c r="C72" s="117" t="s">
        <v>117</v>
      </c>
      <c r="D72" s="56" t="s">
        <v>121</v>
      </c>
      <c r="E72" s="30" t="s">
        <v>165</v>
      </c>
      <c r="F72" s="30" t="s">
        <v>633</v>
      </c>
      <c r="G72" s="8">
        <f t="shared" si="2"/>
        <v>840516</v>
      </c>
      <c r="H72" s="53">
        <f>132640+703834+4042</f>
        <v>840516</v>
      </c>
      <c r="I72" s="31">
        <v>0</v>
      </c>
      <c r="J72" s="32">
        <v>0</v>
      </c>
    </row>
    <row r="73" spans="1:11" s="1" customFormat="1" ht="63" x14ac:dyDescent="0.25">
      <c r="A73" s="73">
        <v>1015041</v>
      </c>
      <c r="B73" s="74">
        <v>5041</v>
      </c>
      <c r="C73" s="74" t="s">
        <v>117</v>
      </c>
      <c r="D73" s="111" t="s">
        <v>200</v>
      </c>
      <c r="E73" s="30" t="s">
        <v>165</v>
      </c>
      <c r="F73" s="30" t="s">
        <v>633</v>
      </c>
      <c r="G73" s="8">
        <f t="shared" si="2"/>
        <v>30174808</v>
      </c>
      <c r="H73" s="31">
        <f>23276040+6898768</f>
        <v>30174808</v>
      </c>
      <c r="I73" s="31">
        <v>0</v>
      </c>
      <c r="J73" s="32">
        <v>0</v>
      </c>
    </row>
    <row r="74" spans="1:11" ht="78.75" x14ac:dyDescent="0.25">
      <c r="A74" s="894" t="s">
        <v>122</v>
      </c>
      <c r="B74" s="117" t="s">
        <v>123</v>
      </c>
      <c r="C74" s="117" t="s">
        <v>117</v>
      </c>
      <c r="D74" s="56" t="s">
        <v>124</v>
      </c>
      <c r="E74" s="30" t="s">
        <v>165</v>
      </c>
      <c r="F74" s="30" t="s">
        <v>633</v>
      </c>
      <c r="G74" s="8">
        <f t="shared" si="2"/>
        <v>1102680</v>
      </c>
      <c r="H74" s="53">
        <f>20864+1082220+5896-6300</f>
        <v>1102680</v>
      </c>
      <c r="I74" s="31">
        <v>0</v>
      </c>
      <c r="J74" s="32">
        <v>0</v>
      </c>
    </row>
    <row r="75" spans="1:11" ht="63" x14ac:dyDescent="0.25">
      <c r="A75" s="894" t="s">
        <v>125</v>
      </c>
      <c r="B75" s="117" t="s">
        <v>126</v>
      </c>
      <c r="C75" s="117" t="s">
        <v>117</v>
      </c>
      <c r="D75" s="56" t="s">
        <v>127</v>
      </c>
      <c r="E75" s="30" t="s">
        <v>165</v>
      </c>
      <c r="F75" s="30" t="s">
        <v>633</v>
      </c>
      <c r="G75" s="8">
        <f t="shared" si="2"/>
        <v>496800</v>
      </c>
      <c r="H75" s="31">
        <f>133200+331800-129000+160800</f>
        <v>496800</v>
      </c>
      <c r="I75" s="31">
        <v>0</v>
      </c>
      <c r="J75" s="32">
        <v>0</v>
      </c>
    </row>
    <row r="76" spans="1:11" ht="78.75" x14ac:dyDescent="0.25">
      <c r="A76" s="166">
        <v>1018110</v>
      </c>
      <c r="B76" s="136">
        <v>8110</v>
      </c>
      <c r="C76" s="136" t="s">
        <v>232</v>
      </c>
      <c r="D76" s="137" t="s">
        <v>236</v>
      </c>
      <c r="E76" s="46" t="s">
        <v>264</v>
      </c>
      <c r="F76" s="156" t="s">
        <v>637</v>
      </c>
      <c r="G76" s="8">
        <f t="shared" si="2"/>
        <v>100622</v>
      </c>
      <c r="H76" s="31">
        <f>84272+16350</f>
        <v>100622</v>
      </c>
      <c r="I76" s="31">
        <v>0</v>
      </c>
      <c r="J76" s="32">
        <v>0</v>
      </c>
    </row>
    <row r="77" spans="1:11" ht="63.75" thickBot="1" x14ac:dyDescent="0.3">
      <c r="A77" s="164">
        <v>1019770</v>
      </c>
      <c r="B77" s="138">
        <v>9770</v>
      </c>
      <c r="C77" s="138" t="s">
        <v>221</v>
      </c>
      <c r="D77" s="139" t="s">
        <v>237</v>
      </c>
      <c r="E77" s="33" t="s">
        <v>165</v>
      </c>
      <c r="F77" s="30" t="s">
        <v>633</v>
      </c>
      <c r="G77" s="34">
        <f t="shared" si="2"/>
        <v>350000</v>
      </c>
      <c r="H77" s="35">
        <v>350000</v>
      </c>
      <c r="I77" s="35">
        <v>0</v>
      </c>
      <c r="J77" s="36">
        <v>0</v>
      </c>
    </row>
    <row r="78" spans="1:11" ht="57.6" customHeight="1" thickBot="1" x14ac:dyDescent="0.3">
      <c r="A78" s="159" t="s">
        <v>128</v>
      </c>
      <c r="B78" s="20" t="s">
        <v>16</v>
      </c>
      <c r="C78" s="20" t="s">
        <v>16</v>
      </c>
      <c r="D78" s="108" t="s">
        <v>129</v>
      </c>
      <c r="E78" s="21" t="s">
        <v>16</v>
      </c>
      <c r="F78" s="21" t="s">
        <v>16</v>
      </c>
      <c r="G78" s="22">
        <f t="shared" si="2"/>
        <v>56280952</v>
      </c>
      <c r="H78" s="23">
        <f>H79</f>
        <v>54280358</v>
      </c>
      <c r="I78" s="23">
        <f>I79</f>
        <v>2000594</v>
      </c>
      <c r="J78" s="24">
        <f>J79</f>
        <v>1525794</v>
      </c>
      <c r="K78" s="10">
        <f>I78-J78</f>
        <v>474800</v>
      </c>
    </row>
    <row r="79" spans="1:11" ht="54.6" customHeight="1" x14ac:dyDescent="0.25">
      <c r="A79" s="167">
        <v>1210000</v>
      </c>
      <c r="B79" s="25" t="s">
        <v>16</v>
      </c>
      <c r="C79" s="25" t="s">
        <v>16</v>
      </c>
      <c r="D79" s="55" t="s">
        <v>129</v>
      </c>
      <c r="E79" s="26" t="s">
        <v>16</v>
      </c>
      <c r="F79" s="26" t="s">
        <v>16</v>
      </c>
      <c r="G79" s="38">
        <f>G80+G82+G83+G85+G86+G87+G88+G81+G89+G84</f>
        <v>56280952</v>
      </c>
      <c r="H79" s="38">
        <f>H80+H81+H82+H83+H85+H86+H87+H88+H89+H84</f>
        <v>54280358</v>
      </c>
      <c r="I79" s="38">
        <f>I80+I82+I83+I85+I86+I88+I87+I81</f>
        <v>2000594</v>
      </c>
      <c r="J79" s="39">
        <f>J80+J82+J83+J85+J86+J88+J87+J81</f>
        <v>1525794</v>
      </c>
    </row>
    <row r="80" spans="1:11" ht="63" x14ac:dyDescent="0.25">
      <c r="A80" s="894" t="s">
        <v>130</v>
      </c>
      <c r="B80" s="117" t="s">
        <v>131</v>
      </c>
      <c r="C80" s="117" t="s">
        <v>132</v>
      </c>
      <c r="D80" s="56" t="s">
        <v>133</v>
      </c>
      <c r="E80" s="30" t="s">
        <v>166</v>
      </c>
      <c r="F80" s="52" t="s">
        <v>673</v>
      </c>
      <c r="G80" s="8">
        <f t="shared" si="2"/>
        <v>7980</v>
      </c>
      <c r="H80" s="31">
        <v>7980</v>
      </c>
      <c r="I80" s="31">
        <v>0</v>
      </c>
      <c r="J80" s="32">
        <v>0</v>
      </c>
    </row>
    <row r="81" spans="1:11" ht="63" x14ac:dyDescent="0.25">
      <c r="A81" s="894">
        <v>1216012</v>
      </c>
      <c r="B81" s="117">
        <v>6012</v>
      </c>
      <c r="C81" s="138" t="s">
        <v>29</v>
      </c>
      <c r="D81" s="139" t="s">
        <v>278</v>
      </c>
      <c r="E81" s="30" t="s">
        <v>166</v>
      </c>
      <c r="F81" s="52" t="s">
        <v>673</v>
      </c>
      <c r="G81" s="8">
        <f t="shared" si="2"/>
        <v>8052578</v>
      </c>
      <c r="H81" s="31">
        <v>7623160</v>
      </c>
      <c r="I81" s="38">
        <v>429418</v>
      </c>
      <c r="J81" s="32">
        <f t="shared" ref="J81" si="5">I81</f>
        <v>429418</v>
      </c>
    </row>
    <row r="82" spans="1:11" ht="76.900000000000006" customHeight="1" x14ac:dyDescent="0.25">
      <c r="A82" s="894" t="s">
        <v>134</v>
      </c>
      <c r="B82" s="117" t="s">
        <v>135</v>
      </c>
      <c r="C82" s="117" t="s">
        <v>29</v>
      </c>
      <c r="D82" s="56" t="s">
        <v>136</v>
      </c>
      <c r="E82" s="30" t="s">
        <v>166</v>
      </c>
      <c r="F82" s="52" t="s">
        <v>673</v>
      </c>
      <c r="G82" s="8">
        <f t="shared" si="2"/>
        <v>304536</v>
      </c>
      <c r="H82" s="31">
        <v>304536</v>
      </c>
      <c r="I82" s="31">
        <v>0</v>
      </c>
      <c r="J82" s="32">
        <v>0</v>
      </c>
    </row>
    <row r="83" spans="1:11" ht="88.9" customHeight="1" x14ac:dyDescent="0.25">
      <c r="A83" s="894" t="s">
        <v>137</v>
      </c>
      <c r="B83" s="117" t="s">
        <v>28</v>
      </c>
      <c r="C83" s="117" t="s">
        <v>29</v>
      </c>
      <c r="D83" s="56" t="s">
        <v>30</v>
      </c>
      <c r="E83" s="30" t="s">
        <v>166</v>
      </c>
      <c r="F83" s="52" t="s">
        <v>673</v>
      </c>
      <c r="G83" s="8">
        <f t="shared" si="2"/>
        <v>37699073</v>
      </c>
      <c r="H83" s="31">
        <f>33652239+59165+872130+2246444+395712+81220+218667+181096+725000-732600</f>
        <v>37699073</v>
      </c>
      <c r="I83" s="31">
        <v>0</v>
      </c>
      <c r="J83" s="32">
        <v>0</v>
      </c>
    </row>
    <row r="84" spans="1:11" ht="88.9" customHeight="1" x14ac:dyDescent="0.25">
      <c r="A84" s="894" t="s">
        <v>137</v>
      </c>
      <c r="B84" s="117" t="s">
        <v>28</v>
      </c>
      <c r="C84" s="117" t="s">
        <v>29</v>
      </c>
      <c r="D84" s="56" t="s">
        <v>30</v>
      </c>
      <c r="E84" s="30" t="s">
        <v>288</v>
      </c>
      <c r="F84" s="158" t="s">
        <v>638</v>
      </c>
      <c r="G84" s="8">
        <f t="shared" si="2"/>
        <v>732600</v>
      </c>
      <c r="H84" s="31">
        <v>732600</v>
      </c>
      <c r="I84" s="31"/>
      <c r="J84" s="32"/>
    </row>
    <row r="85" spans="1:11" ht="74.25" customHeight="1" x14ac:dyDescent="0.25">
      <c r="A85" s="894" t="s">
        <v>137</v>
      </c>
      <c r="B85" s="117" t="s">
        <v>28</v>
      </c>
      <c r="C85" s="117" t="s">
        <v>29</v>
      </c>
      <c r="D85" s="56" t="s">
        <v>30</v>
      </c>
      <c r="E85" s="30" t="s">
        <v>167</v>
      </c>
      <c r="F85" s="30" t="s">
        <v>201</v>
      </c>
      <c r="G85" s="8">
        <f t="shared" si="2"/>
        <v>279487</v>
      </c>
      <c r="H85" s="31">
        <f>137718+141769</f>
        <v>279487</v>
      </c>
      <c r="I85" s="31">
        <v>0</v>
      </c>
      <c r="J85" s="32">
        <v>0</v>
      </c>
    </row>
    <row r="86" spans="1:11" ht="70.900000000000006" customHeight="1" x14ac:dyDescent="0.25">
      <c r="A86" s="73" t="s">
        <v>138</v>
      </c>
      <c r="B86" s="45" t="s">
        <v>139</v>
      </c>
      <c r="C86" s="45" t="s">
        <v>140</v>
      </c>
      <c r="D86" s="59" t="s">
        <v>141</v>
      </c>
      <c r="E86" s="46" t="s">
        <v>166</v>
      </c>
      <c r="F86" s="52" t="s">
        <v>673</v>
      </c>
      <c r="G86" s="27">
        <f t="shared" si="2"/>
        <v>3633522</v>
      </c>
      <c r="H86" s="28">
        <f>1799030+533946+154083+1146463</f>
        <v>3633522</v>
      </c>
      <c r="I86" s="31">
        <v>0</v>
      </c>
      <c r="J86" s="32">
        <v>0</v>
      </c>
    </row>
    <row r="87" spans="1:11" ht="126" x14ac:dyDescent="0.25">
      <c r="A87" s="163" t="s">
        <v>243</v>
      </c>
      <c r="B87" s="138" t="s">
        <v>244</v>
      </c>
      <c r="C87" s="138" t="s">
        <v>245</v>
      </c>
      <c r="D87" s="52" t="s">
        <v>246</v>
      </c>
      <c r="E87" s="142" t="s">
        <v>268</v>
      </c>
      <c r="F87" s="156" t="s">
        <v>283</v>
      </c>
      <c r="G87" s="27">
        <f t="shared" si="2"/>
        <v>1096376</v>
      </c>
      <c r="H87" s="31">
        <v>0</v>
      </c>
      <c r="I87" s="35">
        <v>1096376</v>
      </c>
      <c r="J87" s="36">
        <v>1096376</v>
      </c>
    </row>
    <row r="88" spans="1:11" ht="78.75" x14ac:dyDescent="0.25">
      <c r="A88" s="894" t="s">
        <v>142</v>
      </c>
      <c r="B88" s="117" t="s">
        <v>143</v>
      </c>
      <c r="C88" s="117" t="s">
        <v>144</v>
      </c>
      <c r="D88" s="56" t="s">
        <v>145</v>
      </c>
      <c r="E88" s="30" t="s">
        <v>168</v>
      </c>
      <c r="F88" s="131" t="s">
        <v>640</v>
      </c>
      <c r="G88" s="8">
        <f t="shared" si="2"/>
        <v>474800</v>
      </c>
      <c r="H88" s="31">
        <v>0</v>
      </c>
      <c r="I88" s="31">
        <f>284800+190000</f>
        <v>474800</v>
      </c>
      <c r="J88" s="32">
        <v>0</v>
      </c>
    </row>
    <row r="89" spans="1:11" ht="75" customHeight="1" thickBot="1" x14ac:dyDescent="0.3">
      <c r="A89" s="1095">
        <v>1218861</v>
      </c>
      <c r="B89" s="1096">
        <v>8861</v>
      </c>
      <c r="C89" s="1097" t="s">
        <v>217</v>
      </c>
      <c r="D89" s="1098" t="s">
        <v>302</v>
      </c>
      <c r="E89" s="109" t="s">
        <v>166</v>
      </c>
      <c r="F89" s="94" t="s">
        <v>673</v>
      </c>
      <c r="G89" s="34">
        <f>H89</f>
        <v>4000000</v>
      </c>
      <c r="H89" s="35">
        <v>4000000</v>
      </c>
      <c r="I89" s="35"/>
      <c r="J89" s="36"/>
    </row>
    <row r="90" spans="1:11" ht="48" thickBot="1" x14ac:dyDescent="0.3">
      <c r="A90" s="159" t="s">
        <v>146</v>
      </c>
      <c r="B90" s="20" t="s">
        <v>16</v>
      </c>
      <c r="C90" s="20" t="s">
        <v>16</v>
      </c>
      <c r="D90" s="108" t="s">
        <v>147</v>
      </c>
      <c r="E90" s="21" t="s">
        <v>16</v>
      </c>
      <c r="F90" s="21" t="s">
        <v>16</v>
      </c>
      <c r="G90" s="22">
        <f>H90+I90</f>
        <v>94852409</v>
      </c>
      <c r="H90" s="23">
        <f>H91</f>
        <v>0</v>
      </c>
      <c r="I90" s="23">
        <f>I91</f>
        <v>94852409</v>
      </c>
      <c r="J90" s="24">
        <f>J91</f>
        <v>94852409</v>
      </c>
      <c r="K90" s="10">
        <f>I90-J90</f>
        <v>0</v>
      </c>
    </row>
    <row r="91" spans="1:11" ht="54" customHeight="1" x14ac:dyDescent="0.25">
      <c r="A91" s="167">
        <v>1510000</v>
      </c>
      <c r="B91" s="25" t="s">
        <v>16</v>
      </c>
      <c r="C91" s="25" t="s">
        <v>16</v>
      </c>
      <c r="D91" s="55" t="s">
        <v>147</v>
      </c>
      <c r="E91" s="26" t="s">
        <v>16</v>
      </c>
      <c r="F91" s="26" t="s">
        <v>16</v>
      </c>
      <c r="G91" s="155">
        <f>G103+G93+G92+G94+G96+G99+G100+G102+G104+G105+G106+G98+G97+G95+G101</f>
        <v>94852409</v>
      </c>
      <c r="H91" s="38">
        <f>H93+H103</f>
        <v>0</v>
      </c>
      <c r="I91" s="155">
        <f>I103+I93+I92+I94+I96+I99+I100+I102+I104+I105+I106+I98+I97+I95+I101</f>
        <v>94852409</v>
      </c>
      <c r="J91" s="39">
        <f>J103+J93+J92+J94+J96+J99+J100+J102+J104+J105+J106+J98+J97+J95+J101</f>
        <v>94852409</v>
      </c>
    </row>
    <row r="92" spans="1:11" ht="63" x14ac:dyDescent="0.25">
      <c r="A92" s="894">
        <v>1511010</v>
      </c>
      <c r="B92" s="893" t="s">
        <v>47</v>
      </c>
      <c r="C92" s="893" t="s">
        <v>48</v>
      </c>
      <c r="D92" s="52" t="s">
        <v>49</v>
      </c>
      <c r="E92" s="30" t="s">
        <v>169</v>
      </c>
      <c r="F92" s="158" t="s">
        <v>639</v>
      </c>
      <c r="G92" s="8">
        <f t="shared" ref="G92" si="6">H92+I92</f>
        <v>7072400</v>
      </c>
      <c r="H92" s="31">
        <v>0</v>
      </c>
      <c r="I92" s="191">
        <f>4694110+1317092+38448+2981628-1958878</f>
        <v>7072400</v>
      </c>
      <c r="J92" s="32">
        <f t="shared" ref="J92:J106" si="7">I92</f>
        <v>7072400</v>
      </c>
    </row>
    <row r="93" spans="1:11" s="1" customFormat="1" ht="63" x14ac:dyDescent="0.25">
      <c r="A93" s="162" t="s">
        <v>170</v>
      </c>
      <c r="B93" s="50" t="s">
        <v>51</v>
      </c>
      <c r="C93" s="93" t="s">
        <v>52</v>
      </c>
      <c r="D93" s="112" t="s">
        <v>230</v>
      </c>
      <c r="E93" s="30" t="s">
        <v>169</v>
      </c>
      <c r="F93" s="158" t="s">
        <v>639</v>
      </c>
      <c r="G93" s="8">
        <f t="shared" ref="G93" si="8">H93+I93</f>
        <v>15986428</v>
      </c>
      <c r="H93" s="31">
        <v>0</v>
      </c>
      <c r="I93" s="31">
        <f>6202186+6588451+2012776-2000000+100000+2995783+154318+38448+316208+200000+4615237+136522+1703165-1086770-4615237-1374659</f>
        <v>15986428</v>
      </c>
      <c r="J93" s="32">
        <f t="shared" si="7"/>
        <v>15986428</v>
      </c>
    </row>
    <row r="94" spans="1:11" s="1" customFormat="1" ht="63" x14ac:dyDescent="0.25">
      <c r="A94" s="163" t="s">
        <v>247</v>
      </c>
      <c r="B94" s="138" t="s">
        <v>21</v>
      </c>
      <c r="C94" s="138" t="s">
        <v>22</v>
      </c>
      <c r="D94" s="139" t="s">
        <v>23</v>
      </c>
      <c r="E94" s="30" t="s">
        <v>169</v>
      </c>
      <c r="F94" s="158" t="s">
        <v>639</v>
      </c>
      <c r="G94" s="8">
        <f t="shared" ref="G94" si="9">H94+I94</f>
        <v>1894090</v>
      </c>
      <c r="H94" s="31">
        <v>0</v>
      </c>
      <c r="I94" s="31">
        <f>103135+509663+1281292</f>
        <v>1894090</v>
      </c>
      <c r="J94" s="32">
        <f t="shared" si="7"/>
        <v>1894090</v>
      </c>
    </row>
    <row r="95" spans="1:11" s="1" customFormat="1" ht="80.25" customHeight="1" x14ac:dyDescent="0.25">
      <c r="A95" s="171" t="s">
        <v>248</v>
      </c>
      <c r="B95" s="132" t="s">
        <v>108</v>
      </c>
      <c r="C95" s="132" t="s">
        <v>109</v>
      </c>
      <c r="D95" s="133" t="s">
        <v>249</v>
      </c>
      <c r="E95" s="30" t="s">
        <v>288</v>
      </c>
      <c r="F95" s="158" t="s">
        <v>667</v>
      </c>
      <c r="G95" s="8">
        <f t="shared" ref="G95" si="10">H95+I95</f>
        <v>3710000</v>
      </c>
      <c r="H95" s="31">
        <v>0</v>
      </c>
      <c r="I95" s="31">
        <f>6065841-2355841</f>
        <v>3710000</v>
      </c>
      <c r="J95" s="32">
        <f t="shared" ref="J95" si="11">I95</f>
        <v>3710000</v>
      </c>
    </row>
    <row r="96" spans="1:11" s="1" customFormat="1" ht="63" x14ac:dyDescent="0.25">
      <c r="A96" s="171" t="s">
        <v>248</v>
      </c>
      <c r="B96" s="132" t="s">
        <v>108</v>
      </c>
      <c r="C96" s="132" t="s">
        <v>109</v>
      </c>
      <c r="D96" s="133" t="s">
        <v>249</v>
      </c>
      <c r="E96" s="30" t="s">
        <v>169</v>
      </c>
      <c r="F96" s="158" t="s">
        <v>639</v>
      </c>
      <c r="G96" s="8">
        <f t="shared" ref="G96:G99" si="12">H96+I96</f>
        <v>522185</v>
      </c>
      <c r="H96" s="31">
        <v>0</v>
      </c>
      <c r="I96" s="177">
        <f>385436+136749</f>
        <v>522185</v>
      </c>
      <c r="J96" s="32">
        <f t="shared" si="7"/>
        <v>522185</v>
      </c>
    </row>
    <row r="97" spans="1:11" s="1" customFormat="1" ht="63" x14ac:dyDescent="0.25">
      <c r="A97" s="171" t="s">
        <v>280</v>
      </c>
      <c r="B97" s="132" t="s">
        <v>279</v>
      </c>
      <c r="C97" s="132" t="s">
        <v>29</v>
      </c>
      <c r="D97" s="133" t="s">
        <v>278</v>
      </c>
      <c r="E97" s="30" t="s">
        <v>166</v>
      </c>
      <c r="F97" s="52" t="s">
        <v>673</v>
      </c>
      <c r="G97" s="8">
        <f t="shared" si="12"/>
        <v>10088682</v>
      </c>
      <c r="H97" s="31">
        <v>0</v>
      </c>
      <c r="I97" s="31">
        <f>7702800+112000+2235052+216960-178130</f>
        <v>10088682</v>
      </c>
      <c r="J97" s="32">
        <f t="shared" si="7"/>
        <v>10088682</v>
      </c>
    </row>
    <row r="98" spans="1:11" s="1" customFormat="1" ht="72" customHeight="1" x14ac:dyDescent="0.25">
      <c r="A98" s="151" t="s">
        <v>276</v>
      </c>
      <c r="B98" s="138" t="s">
        <v>135</v>
      </c>
      <c r="C98" s="138" t="s">
        <v>29</v>
      </c>
      <c r="D98" s="139" t="s">
        <v>136</v>
      </c>
      <c r="E98" s="30" t="s">
        <v>166</v>
      </c>
      <c r="F98" s="52" t="s">
        <v>673</v>
      </c>
      <c r="G98" s="8">
        <f t="shared" si="12"/>
        <v>710392</v>
      </c>
      <c r="H98" s="31">
        <v>0</v>
      </c>
      <c r="I98" s="31">
        <f>J98</f>
        <v>710392</v>
      </c>
      <c r="J98" s="32">
        <f>213272+497120</f>
        <v>710392</v>
      </c>
    </row>
    <row r="99" spans="1:11" s="1" customFormat="1" ht="70.150000000000006" customHeight="1" x14ac:dyDescent="0.25">
      <c r="A99" s="163" t="s">
        <v>250</v>
      </c>
      <c r="B99" s="138" t="s">
        <v>28</v>
      </c>
      <c r="C99" s="138" t="s">
        <v>29</v>
      </c>
      <c r="D99" s="139" t="s">
        <v>30</v>
      </c>
      <c r="E99" s="30" t="s">
        <v>166</v>
      </c>
      <c r="F99" s="52" t="s">
        <v>673</v>
      </c>
      <c r="G99" s="8">
        <f t="shared" si="12"/>
        <v>18087747</v>
      </c>
      <c r="H99" s="31">
        <v>0</v>
      </c>
      <c r="I99" s="31">
        <f>8403808+2127676+1495530+1644000+36203+36659+156690+236657+337000+8248242+678421+101276+133360-4300000-236657-1011118</f>
        <v>18087747</v>
      </c>
      <c r="J99" s="32">
        <f t="shared" si="7"/>
        <v>18087747</v>
      </c>
    </row>
    <row r="100" spans="1:11" s="1" customFormat="1" ht="63" x14ac:dyDescent="0.25">
      <c r="A100" s="171" t="s">
        <v>251</v>
      </c>
      <c r="B100" s="132" t="s">
        <v>252</v>
      </c>
      <c r="C100" s="132" t="s">
        <v>148</v>
      </c>
      <c r="D100" s="133" t="s">
        <v>253</v>
      </c>
      <c r="E100" s="30" t="s">
        <v>269</v>
      </c>
      <c r="F100" s="158" t="s">
        <v>639</v>
      </c>
      <c r="G100" s="8">
        <f t="shared" ref="G100" si="13">H100+I100</f>
        <v>307755</v>
      </c>
      <c r="H100" s="31">
        <v>0</v>
      </c>
      <c r="I100" s="31">
        <v>307755</v>
      </c>
      <c r="J100" s="32">
        <f t="shared" si="7"/>
        <v>307755</v>
      </c>
    </row>
    <row r="101" spans="1:11" s="1" customFormat="1" ht="63" x14ac:dyDescent="0.25">
      <c r="A101" s="163" t="s">
        <v>289</v>
      </c>
      <c r="B101" s="138" t="s">
        <v>290</v>
      </c>
      <c r="C101" s="138" t="s">
        <v>148</v>
      </c>
      <c r="D101" s="139" t="s">
        <v>291</v>
      </c>
      <c r="E101" s="30" t="s">
        <v>269</v>
      </c>
      <c r="F101" s="158" t="s">
        <v>639</v>
      </c>
      <c r="G101" s="8">
        <f t="shared" ref="G101" si="14">H101+I101</f>
        <v>5844500</v>
      </c>
      <c r="H101" s="31">
        <v>0</v>
      </c>
      <c r="I101" s="31">
        <f>3323992+2520508</f>
        <v>5844500</v>
      </c>
      <c r="J101" s="32">
        <f t="shared" ref="J101" si="15">I101</f>
        <v>5844500</v>
      </c>
    </row>
    <row r="102" spans="1:11" s="1" customFormat="1" ht="63" x14ac:dyDescent="0.25">
      <c r="A102" s="163" t="s">
        <v>254</v>
      </c>
      <c r="B102" s="138" t="s">
        <v>255</v>
      </c>
      <c r="C102" s="138" t="s">
        <v>148</v>
      </c>
      <c r="D102" s="139" t="s">
        <v>256</v>
      </c>
      <c r="E102" s="30" t="s">
        <v>269</v>
      </c>
      <c r="F102" s="158" t="s">
        <v>639</v>
      </c>
      <c r="G102" s="8">
        <f t="shared" ref="G102" si="16">H102+I102</f>
        <v>1562552</v>
      </c>
      <c r="H102" s="31">
        <v>0</v>
      </c>
      <c r="I102" s="31">
        <f>1865034-302482</f>
        <v>1562552</v>
      </c>
      <c r="J102" s="32">
        <f t="shared" si="7"/>
        <v>1562552</v>
      </c>
    </row>
    <row r="103" spans="1:11" ht="70.150000000000006" customHeight="1" x14ac:dyDescent="0.25">
      <c r="A103" s="894" t="s">
        <v>149</v>
      </c>
      <c r="B103" s="117" t="s">
        <v>150</v>
      </c>
      <c r="C103" s="117" t="s">
        <v>148</v>
      </c>
      <c r="D103" s="56" t="s">
        <v>151</v>
      </c>
      <c r="E103" s="30" t="s">
        <v>169</v>
      </c>
      <c r="F103" s="158" t="s">
        <v>639</v>
      </c>
      <c r="G103" s="8">
        <f>I103</f>
        <v>12732699</v>
      </c>
      <c r="H103" s="31">
        <v>0</v>
      </c>
      <c r="I103" s="31">
        <f>2724014+196092+170000+9642593</f>
        <v>12732699</v>
      </c>
      <c r="J103" s="32">
        <f t="shared" si="7"/>
        <v>12732699</v>
      </c>
    </row>
    <row r="104" spans="1:11" ht="79.900000000000006" customHeight="1" x14ac:dyDescent="0.25">
      <c r="A104" s="171" t="s">
        <v>257</v>
      </c>
      <c r="B104" s="132" t="s">
        <v>139</v>
      </c>
      <c r="C104" s="132" t="s">
        <v>140</v>
      </c>
      <c r="D104" s="133" t="s">
        <v>141</v>
      </c>
      <c r="E104" s="30" t="s">
        <v>166</v>
      </c>
      <c r="F104" s="52" t="s">
        <v>673</v>
      </c>
      <c r="G104" s="8">
        <f>I104</f>
        <v>14302901</v>
      </c>
      <c r="H104" s="31">
        <v>0</v>
      </c>
      <c r="I104" s="31">
        <f>4443182+200000+14000000-14200000+751850-907522-395910+382628+10000000+28673</f>
        <v>14302901</v>
      </c>
      <c r="J104" s="32">
        <f t="shared" si="7"/>
        <v>14302901</v>
      </c>
    </row>
    <row r="105" spans="1:11" ht="63" x14ac:dyDescent="0.25">
      <c r="A105" s="171" t="s">
        <v>258</v>
      </c>
      <c r="B105" s="132" t="s">
        <v>238</v>
      </c>
      <c r="C105" s="132" t="s">
        <v>217</v>
      </c>
      <c r="D105" s="133" t="s">
        <v>259</v>
      </c>
      <c r="E105" s="30" t="s">
        <v>166</v>
      </c>
      <c r="F105" s="52" t="s">
        <v>673</v>
      </c>
      <c r="G105" s="8">
        <f>I105</f>
        <v>468060</v>
      </c>
      <c r="H105" s="31">
        <v>0</v>
      </c>
      <c r="I105" s="31">
        <v>468060</v>
      </c>
      <c r="J105" s="32">
        <f t="shared" si="7"/>
        <v>468060</v>
      </c>
    </row>
    <row r="106" spans="1:11" ht="63" x14ac:dyDescent="0.25">
      <c r="A106" s="171" t="s">
        <v>258</v>
      </c>
      <c r="B106" s="132" t="s">
        <v>238</v>
      </c>
      <c r="C106" s="132" t="s">
        <v>217</v>
      </c>
      <c r="D106" s="133" t="s">
        <v>259</v>
      </c>
      <c r="E106" s="30" t="s">
        <v>169</v>
      </c>
      <c r="F106" s="158" t="s">
        <v>639</v>
      </c>
      <c r="G106" s="8">
        <f>I106</f>
        <v>1562018</v>
      </c>
      <c r="H106" s="31">
        <v>0</v>
      </c>
      <c r="I106" s="31">
        <f>782460+779558</f>
        <v>1562018</v>
      </c>
      <c r="J106" s="32">
        <f t="shared" si="7"/>
        <v>1562018</v>
      </c>
    </row>
    <row r="107" spans="1:11" ht="63" customHeight="1" thickBot="1" x14ac:dyDescent="0.3">
      <c r="A107" s="145">
        <v>1600000</v>
      </c>
      <c r="B107" s="185" t="s">
        <v>16</v>
      </c>
      <c r="C107" s="185" t="s">
        <v>16</v>
      </c>
      <c r="D107" s="186" t="s">
        <v>218</v>
      </c>
      <c r="E107" s="187" t="s">
        <v>16</v>
      </c>
      <c r="F107" s="187" t="s">
        <v>16</v>
      </c>
      <c r="G107" s="58">
        <f t="shared" ref="G107" si="17">H107+I107</f>
        <v>10025000</v>
      </c>
      <c r="H107" s="188">
        <f>H108</f>
        <v>0</v>
      </c>
      <c r="I107" s="188">
        <f>I108</f>
        <v>10025000</v>
      </c>
      <c r="J107" s="189">
        <f>J108</f>
        <v>10025000</v>
      </c>
      <c r="K107" s="10">
        <f>I107-J107</f>
        <v>0</v>
      </c>
    </row>
    <row r="108" spans="1:11" ht="63" x14ac:dyDescent="0.25">
      <c r="A108" s="167">
        <v>1610000</v>
      </c>
      <c r="B108" s="40" t="s">
        <v>16</v>
      </c>
      <c r="C108" s="40" t="s">
        <v>16</v>
      </c>
      <c r="D108" s="41" t="s">
        <v>218</v>
      </c>
      <c r="E108" s="55" t="s">
        <v>16</v>
      </c>
      <c r="F108" s="26" t="s">
        <v>16</v>
      </c>
      <c r="G108" s="38">
        <f>G109</f>
        <v>10025000</v>
      </c>
      <c r="H108" s="31">
        <v>0</v>
      </c>
      <c r="I108" s="31">
        <v>10025000</v>
      </c>
      <c r="J108" s="32">
        <f t="shared" ref="J108:J109" si="18">I108</f>
        <v>10025000</v>
      </c>
    </row>
    <row r="109" spans="1:11" ht="79.5" thickBot="1" x14ac:dyDescent="0.3">
      <c r="A109" s="163" t="s">
        <v>285</v>
      </c>
      <c r="B109" s="136" t="s">
        <v>286</v>
      </c>
      <c r="C109" s="193" t="s">
        <v>148</v>
      </c>
      <c r="D109" s="776" t="s">
        <v>284</v>
      </c>
      <c r="E109" s="109" t="s">
        <v>292</v>
      </c>
      <c r="F109" s="94" t="s">
        <v>295</v>
      </c>
      <c r="G109" s="181">
        <f t="shared" ref="G109" si="19">H109+I109</f>
        <v>10025000</v>
      </c>
      <c r="H109" s="35">
        <v>0</v>
      </c>
      <c r="I109" s="35">
        <v>10025000</v>
      </c>
      <c r="J109" s="36">
        <f t="shared" si="18"/>
        <v>10025000</v>
      </c>
    </row>
    <row r="110" spans="1:11" ht="48" thickBot="1" x14ac:dyDescent="0.3">
      <c r="A110" s="770">
        <v>2700000</v>
      </c>
      <c r="B110" s="772"/>
      <c r="C110" s="772"/>
      <c r="D110" s="777" t="s">
        <v>219</v>
      </c>
      <c r="E110" s="774"/>
      <c r="F110" s="194"/>
      <c r="G110" s="22">
        <f>H110</f>
        <v>25000000</v>
      </c>
      <c r="H110" s="23">
        <f>H111</f>
        <v>25000000</v>
      </c>
      <c r="I110" s="23"/>
      <c r="J110" s="24"/>
    </row>
    <row r="111" spans="1:11" ht="48" customHeight="1" x14ac:dyDescent="0.25">
      <c r="A111" s="771">
        <v>2710000</v>
      </c>
      <c r="B111" s="773"/>
      <c r="C111" s="773"/>
      <c r="D111" s="778" t="s">
        <v>219</v>
      </c>
      <c r="E111" s="775"/>
      <c r="F111" s="195"/>
      <c r="G111" s="42">
        <f>H111</f>
        <v>25000000</v>
      </c>
      <c r="H111" s="43">
        <f>H112+H113</f>
        <v>25000000</v>
      </c>
      <c r="I111" s="43"/>
      <c r="J111" s="44"/>
    </row>
    <row r="112" spans="1:11" ht="63" x14ac:dyDescent="0.25">
      <c r="A112" s="788">
        <v>2718861</v>
      </c>
      <c r="B112" s="789">
        <v>8861</v>
      </c>
      <c r="C112" s="790" t="s">
        <v>217</v>
      </c>
      <c r="D112" s="791" t="s">
        <v>302</v>
      </c>
      <c r="E112" s="56" t="s">
        <v>303</v>
      </c>
      <c r="F112" s="52" t="s">
        <v>674</v>
      </c>
      <c r="G112" s="8">
        <f>H112</f>
        <v>0</v>
      </c>
      <c r="H112" s="31">
        <v>0</v>
      </c>
      <c r="I112" s="31"/>
      <c r="J112" s="32"/>
    </row>
    <row r="113" spans="1:16" ht="63" x14ac:dyDescent="0.25">
      <c r="A113" s="171" t="s">
        <v>666</v>
      </c>
      <c r="B113" s="132">
        <v>9770</v>
      </c>
      <c r="C113" s="132" t="s">
        <v>221</v>
      </c>
      <c r="D113" s="133" t="s">
        <v>237</v>
      </c>
      <c r="E113" s="56" t="s">
        <v>303</v>
      </c>
      <c r="F113" s="52" t="s">
        <v>674</v>
      </c>
      <c r="G113" s="181">
        <f t="shared" ref="G113" si="20">H113+I113</f>
        <v>25000000</v>
      </c>
      <c r="H113" s="178">
        <v>25000000</v>
      </c>
      <c r="I113" s="178"/>
      <c r="J113" s="179"/>
    </row>
    <row r="114" spans="1:16" ht="48" thickBot="1" x14ac:dyDescent="0.3">
      <c r="A114" s="145">
        <v>3100000</v>
      </c>
      <c r="B114" s="185" t="s">
        <v>16</v>
      </c>
      <c r="C114" s="185" t="s">
        <v>16</v>
      </c>
      <c r="D114" s="187" t="s">
        <v>220</v>
      </c>
      <c r="E114" s="186" t="s">
        <v>16</v>
      </c>
      <c r="F114" s="187" t="s">
        <v>16</v>
      </c>
      <c r="G114" s="58">
        <f t="shared" ref="G114" si="21">H114+I114</f>
        <v>12561008</v>
      </c>
      <c r="H114" s="188">
        <f>H115</f>
        <v>12561008</v>
      </c>
      <c r="I114" s="188">
        <f t="shared" ref="I114:J115" si="22">I115</f>
        <v>0</v>
      </c>
      <c r="J114" s="189">
        <f t="shared" si="22"/>
        <v>0</v>
      </c>
    </row>
    <row r="115" spans="1:16" ht="49.9" customHeight="1" x14ac:dyDescent="0.25">
      <c r="A115" s="167">
        <v>3110000</v>
      </c>
      <c r="B115" s="25" t="s">
        <v>16</v>
      </c>
      <c r="C115" s="25" t="s">
        <v>16</v>
      </c>
      <c r="D115" s="41" t="s">
        <v>220</v>
      </c>
      <c r="E115" s="26" t="s">
        <v>16</v>
      </c>
      <c r="F115" s="26" t="s">
        <v>16</v>
      </c>
      <c r="G115" s="38">
        <f>G116+G117</f>
        <v>12561008</v>
      </c>
      <c r="H115" s="38">
        <f>H116+H117</f>
        <v>12561008</v>
      </c>
      <c r="I115" s="155">
        <f t="shared" si="22"/>
        <v>0</v>
      </c>
      <c r="J115" s="39">
        <f t="shared" si="22"/>
        <v>0</v>
      </c>
    </row>
    <row r="116" spans="1:16" ht="63" x14ac:dyDescent="0.25">
      <c r="A116" s="171" t="s">
        <v>287</v>
      </c>
      <c r="B116" s="150" t="s">
        <v>242</v>
      </c>
      <c r="C116" s="140" t="s">
        <v>232</v>
      </c>
      <c r="D116" s="153" t="s">
        <v>233</v>
      </c>
      <c r="E116" s="30" t="s">
        <v>166</v>
      </c>
      <c r="F116" s="52" t="s">
        <v>673</v>
      </c>
      <c r="G116" s="27">
        <f t="shared" ref="G116" si="23">H116+I116</f>
        <v>11264887</v>
      </c>
      <c r="H116" s="31">
        <f>11264887</f>
        <v>11264887</v>
      </c>
      <c r="I116" s="31">
        <v>0</v>
      </c>
      <c r="J116" s="32">
        <v>0</v>
      </c>
    </row>
    <row r="117" spans="1:16" ht="63" x14ac:dyDescent="0.25">
      <c r="A117" s="810" t="s">
        <v>504</v>
      </c>
      <c r="B117" s="132" t="s">
        <v>238</v>
      </c>
      <c r="C117" s="132" t="s">
        <v>217</v>
      </c>
      <c r="D117" s="312" t="s">
        <v>259</v>
      </c>
      <c r="E117" s="30" t="s">
        <v>166</v>
      </c>
      <c r="F117" s="52" t="s">
        <v>673</v>
      </c>
      <c r="G117" s="8">
        <f>H117</f>
        <v>1296121</v>
      </c>
      <c r="H117" s="31">
        <v>1296121</v>
      </c>
      <c r="I117" s="31"/>
      <c r="J117" s="32"/>
    </row>
    <row r="118" spans="1:16" ht="16.5" thickBot="1" x14ac:dyDescent="0.3">
      <c r="A118" s="864" t="s">
        <v>7</v>
      </c>
      <c r="B118" s="146" t="s">
        <v>7</v>
      </c>
      <c r="C118" s="146" t="s">
        <v>7</v>
      </c>
      <c r="D118" s="147" t="s">
        <v>152</v>
      </c>
      <c r="E118" s="146" t="s">
        <v>7</v>
      </c>
      <c r="F118" s="146" t="s">
        <v>7</v>
      </c>
      <c r="G118" s="58">
        <f>G23+G43+G54+G60+G63+G78+G90+G114+G107+G110</f>
        <v>368522610</v>
      </c>
      <c r="H118" s="58">
        <f>H23+H43+H54+H60+H63+H78+H90+H114+H107+H110</f>
        <v>236970561</v>
      </c>
      <c r="I118" s="58">
        <f>I23+I43+I54+I60+I63+I78+I90+I114+I107</f>
        <v>131552049</v>
      </c>
      <c r="J118" s="148">
        <f>J23+J43+J54+J60+J63+J78+J90+J114+J107</f>
        <v>130969570</v>
      </c>
      <c r="K118" s="866"/>
      <c r="L118" s="866"/>
    </row>
    <row r="119" spans="1:16" ht="15.75" x14ac:dyDescent="0.25">
      <c r="A119" s="47"/>
      <c r="B119" s="47"/>
      <c r="C119" s="47"/>
      <c r="D119" s="48"/>
      <c r="E119" s="48"/>
      <c r="F119" s="48"/>
      <c r="G119" s="49"/>
      <c r="H119" s="49"/>
      <c r="I119" s="49"/>
      <c r="J119" s="49"/>
    </row>
    <row r="120" spans="1:16" ht="7.9" customHeight="1" x14ac:dyDescent="0.25">
      <c r="A120" s="47"/>
      <c r="B120" s="47"/>
      <c r="C120" s="47"/>
      <c r="D120" s="48"/>
      <c r="E120" s="48"/>
      <c r="F120" s="48"/>
      <c r="G120" s="49"/>
      <c r="H120" s="49"/>
      <c r="I120" s="49"/>
      <c r="J120" s="49"/>
    </row>
    <row r="121" spans="1:16" ht="7.9" hidden="1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6" s="106" customFormat="1" ht="28.9" customHeight="1" x14ac:dyDescent="0.2">
      <c r="A122" s="988" t="s">
        <v>683</v>
      </c>
      <c r="B122" s="988"/>
      <c r="C122" s="988"/>
      <c r="D122" s="988"/>
      <c r="E122" s="102"/>
      <c r="F122" s="102"/>
      <c r="G122" s="102" t="s">
        <v>684</v>
      </c>
      <c r="H122" s="102"/>
      <c r="I122" s="102"/>
      <c r="K122" s="102"/>
      <c r="L122" s="103"/>
      <c r="M122" s="102"/>
      <c r="N122" s="102"/>
      <c r="O122" s="104"/>
      <c r="P122" s="105"/>
    </row>
    <row r="123" spans="1:16" s="64" customFormat="1" ht="20.25" x14ac:dyDescent="0.3">
      <c r="A123" s="63"/>
      <c r="B123" s="63"/>
      <c r="G123" s="66"/>
    </row>
    <row r="124" spans="1:16" s="65" customFormat="1" ht="15.75" x14ac:dyDescent="0.2">
      <c r="A124" s="67"/>
      <c r="B124" s="67"/>
      <c r="H124" s="865"/>
    </row>
  </sheetData>
  <mergeCells count="13">
    <mergeCell ref="H5:I5"/>
    <mergeCell ref="A122:D122"/>
    <mergeCell ref="H20:H21"/>
    <mergeCell ref="I20:J20"/>
    <mergeCell ref="A16:J16"/>
    <mergeCell ref="A18:B18"/>
    <mergeCell ref="A20:A21"/>
    <mergeCell ref="B20:B21"/>
    <mergeCell ref="C20:C21"/>
    <mergeCell ref="D20:D21"/>
    <mergeCell ref="E20:E21"/>
    <mergeCell ref="F20:F21"/>
    <mergeCell ref="G20:G21"/>
  </mergeCells>
  <pageMargins left="1.1811023622047245" right="0.39370078740157483" top="0.78740157480314965" bottom="0.78740157480314965" header="0.31496062992125984" footer="0.31496062992125984"/>
  <pageSetup paperSize="9" scale="60" orientation="landscape" r:id="rId1"/>
  <rowBreaks count="1" manualBreakCount="1">
    <brk id="12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view="pageBreakPreview" topLeftCell="A30" zoomScale="60" zoomScaleNormal="100" workbookViewId="0">
      <selection activeCell="J115" sqref="J115"/>
    </sheetView>
  </sheetViews>
  <sheetFormatPr defaultColWidth="9.28515625" defaultRowHeight="15" x14ac:dyDescent="0.25"/>
  <cols>
    <col min="1" max="1" width="15" style="422" customWidth="1"/>
    <col min="2" max="2" width="12.7109375" style="423" customWidth="1"/>
    <col min="3" max="3" width="11.7109375" style="424" customWidth="1"/>
    <col min="4" max="4" width="63.5703125" style="425" customWidth="1"/>
    <col min="5" max="5" width="78" style="426" customWidth="1"/>
    <col min="6" max="6" width="15.28515625" style="424" customWidth="1"/>
    <col min="7" max="7" width="22" style="427" customWidth="1"/>
    <col min="8" max="8" width="18.5703125" style="427" customWidth="1"/>
    <col min="9" max="9" width="13.85546875" style="427" customWidth="1"/>
    <col min="10" max="10" width="25.140625" style="432" customWidth="1"/>
    <col min="11" max="11" width="16.28515625" style="432" customWidth="1"/>
    <col min="12" max="12" width="9.28515625" style="422"/>
    <col min="13" max="13" width="10.85546875" style="422" bestFit="1" customWidth="1"/>
    <col min="14" max="14" width="9.28515625" style="422"/>
    <col min="15" max="15" width="13.7109375" style="422" bestFit="1" customWidth="1"/>
    <col min="16" max="256" width="9.28515625" style="422"/>
    <col min="257" max="257" width="15" style="422" customWidth="1"/>
    <col min="258" max="258" width="12.7109375" style="422" customWidth="1"/>
    <col min="259" max="259" width="11.7109375" style="422" customWidth="1"/>
    <col min="260" max="260" width="44.85546875" style="422" customWidth="1"/>
    <col min="261" max="261" width="54.7109375" style="422" customWidth="1"/>
    <col min="262" max="262" width="15.28515625" style="422" customWidth="1"/>
    <col min="263" max="264" width="19.28515625" style="422" customWidth="1"/>
    <col min="265" max="265" width="13.85546875" style="422" customWidth="1"/>
    <col min="266" max="266" width="25.28515625" style="422" customWidth="1"/>
    <col min="267" max="267" width="16.28515625" style="422" customWidth="1"/>
    <col min="268" max="512" width="9.28515625" style="422"/>
    <col min="513" max="513" width="15" style="422" customWidth="1"/>
    <col min="514" max="514" width="12.7109375" style="422" customWidth="1"/>
    <col min="515" max="515" width="11.7109375" style="422" customWidth="1"/>
    <col min="516" max="516" width="44.85546875" style="422" customWidth="1"/>
    <col min="517" max="517" width="54.7109375" style="422" customWidth="1"/>
    <col min="518" max="518" width="15.28515625" style="422" customWidth="1"/>
    <col min="519" max="520" width="19.28515625" style="422" customWidth="1"/>
    <col min="521" max="521" width="13.85546875" style="422" customWidth="1"/>
    <col min="522" max="522" width="25.28515625" style="422" customWidth="1"/>
    <col min="523" max="523" width="16.28515625" style="422" customWidth="1"/>
    <col min="524" max="768" width="9.28515625" style="422"/>
    <col min="769" max="769" width="15" style="422" customWidth="1"/>
    <col min="770" max="770" width="12.7109375" style="422" customWidth="1"/>
    <col min="771" max="771" width="11.7109375" style="422" customWidth="1"/>
    <col min="772" max="772" width="44.85546875" style="422" customWidth="1"/>
    <col min="773" max="773" width="54.7109375" style="422" customWidth="1"/>
    <col min="774" max="774" width="15.28515625" style="422" customWidth="1"/>
    <col min="775" max="776" width="19.28515625" style="422" customWidth="1"/>
    <col min="777" max="777" width="13.85546875" style="422" customWidth="1"/>
    <col min="778" max="778" width="25.28515625" style="422" customWidth="1"/>
    <col min="779" max="779" width="16.28515625" style="422" customWidth="1"/>
    <col min="780" max="1024" width="9.28515625" style="422"/>
    <col min="1025" max="1025" width="15" style="422" customWidth="1"/>
    <col min="1026" max="1026" width="12.7109375" style="422" customWidth="1"/>
    <col min="1027" max="1027" width="11.7109375" style="422" customWidth="1"/>
    <col min="1028" max="1028" width="44.85546875" style="422" customWidth="1"/>
    <col min="1029" max="1029" width="54.7109375" style="422" customWidth="1"/>
    <col min="1030" max="1030" width="15.28515625" style="422" customWidth="1"/>
    <col min="1031" max="1032" width="19.28515625" style="422" customWidth="1"/>
    <col min="1033" max="1033" width="13.85546875" style="422" customWidth="1"/>
    <col min="1034" max="1034" width="25.28515625" style="422" customWidth="1"/>
    <col min="1035" max="1035" width="16.28515625" style="422" customWidth="1"/>
    <col min="1036" max="1280" width="9.28515625" style="422"/>
    <col min="1281" max="1281" width="15" style="422" customWidth="1"/>
    <col min="1282" max="1282" width="12.7109375" style="422" customWidth="1"/>
    <col min="1283" max="1283" width="11.7109375" style="422" customWidth="1"/>
    <col min="1284" max="1284" width="44.85546875" style="422" customWidth="1"/>
    <col min="1285" max="1285" width="54.7109375" style="422" customWidth="1"/>
    <col min="1286" max="1286" width="15.28515625" style="422" customWidth="1"/>
    <col min="1287" max="1288" width="19.28515625" style="422" customWidth="1"/>
    <col min="1289" max="1289" width="13.85546875" style="422" customWidth="1"/>
    <col min="1290" max="1290" width="25.28515625" style="422" customWidth="1"/>
    <col min="1291" max="1291" width="16.28515625" style="422" customWidth="1"/>
    <col min="1292" max="1536" width="9.28515625" style="422"/>
    <col min="1537" max="1537" width="15" style="422" customWidth="1"/>
    <col min="1538" max="1538" width="12.7109375" style="422" customWidth="1"/>
    <col min="1539" max="1539" width="11.7109375" style="422" customWidth="1"/>
    <col min="1540" max="1540" width="44.85546875" style="422" customWidth="1"/>
    <col min="1541" max="1541" width="54.7109375" style="422" customWidth="1"/>
    <col min="1542" max="1542" width="15.28515625" style="422" customWidth="1"/>
    <col min="1543" max="1544" width="19.28515625" style="422" customWidth="1"/>
    <col min="1545" max="1545" width="13.85546875" style="422" customWidth="1"/>
    <col min="1546" max="1546" width="25.28515625" style="422" customWidth="1"/>
    <col min="1547" max="1547" width="16.28515625" style="422" customWidth="1"/>
    <col min="1548" max="1792" width="9.28515625" style="422"/>
    <col min="1793" max="1793" width="15" style="422" customWidth="1"/>
    <col min="1794" max="1794" width="12.7109375" style="422" customWidth="1"/>
    <col min="1795" max="1795" width="11.7109375" style="422" customWidth="1"/>
    <col min="1796" max="1796" width="44.85546875" style="422" customWidth="1"/>
    <col min="1797" max="1797" width="54.7109375" style="422" customWidth="1"/>
    <col min="1798" max="1798" width="15.28515625" style="422" customWidth="1"/>
    <col min="1799" max="1800" width="19.28515625" style="422" customWidth="1"/>
    <col min="1801" max="1801" width="13.85546875" style="422" customWidth="1"/>
    <col min="1802" max="1802" width="25.28515625" style="422" customWidth="1"/>
    <col min="1803" max="1803" width="16.28515625" style="422" customWidth="1"/>
    <col min="1804" max="2048" width="9.28515625" style="422"/>
    <col min="2049" max="2049" width="15" style="422" customWidth="1"/>
    <col min="2050" max="2050" width="12.7109375" style="422" customWidth="1"/>
    <col min="2051" max="2051" width="11.7109375" style="422" customWidth="1"/>
    <col min="2052" max="2052" width="44.85546875" style="422" customWidth="1"/>
    <col min="2053" max="2053" width="54.7109375" style="422" customWidth="1"/>
    <col min="2054" max="2054" width="15.28515625" style="422" customWidth="1"/>
    <col min="2055" max="2056" width="19.28515625" style="422" customWidth="1"/>
    <col min="2057" max="2057" width="13.85546875" style="422" customWidth="1"/>
    <col min="2058" max="2058" width="25.28515625" style="422" customWidth="1"/>
    <col min="2059" max="2059" width="16.28515625" style="422" customWidth="1"/>
    <col min="2060" max="2304" width="9.28515625" style="422"/>
    <col min="2305" max="2305" width="15" style="422" customWidth="1"/>
    <col min="2306" max="2306" width="12.7109375" style="422" customWidth="1"/>
    <col min="2307" max="2307" width="11.7109375" style="422" customWidth="1"/>
    <col min="2308" max="2308" width="44.85546875" style="422" customWidth="1"/>
    <col min="2309" max="2309" width="54.7109375" style="422" customWidth="1"/>
    <col min="2310" max="2310" width="15.28515625" style="422" customWidth="1"/>
    <col min="2311" max="2312" width="19.28515625" style="422" customWidth="1"/>
    <col min="2313" max="2313" width="13.85546875" style="422" customWidth="1"/>
    <col min="2314" max="2314" width="25.28515625" style="422" customWidth="1"/>
    <col min="2315" max="2315" width="16.28515625" style="422" customWidth="1"/>
    <col min="2316" max="2560" width="9.28515625" style="422"/>
    <col min="2561" max="2561" width="15" style="422" customWidth="1"/>
    <col min="2562" max="2562" width="12.7109375" style="422" customWidth="1"/>
    <col min="2563" max="2563" width="11.7109375" style="422" customWidth="1"/>
    <col min="2564" max="2564" width="44.85546875" style="422" customWidth="1"/>
    <col min="2565" max="2565" width="54.7109375" style="422" customWidth="1"/>
    <col min="2566" max="2566" width="15.28515625" style="422" customWidth="1"/>
    <col min="2567" max="2568" width="19.28515625" style="422" customWidth="1"/>
    <col min="2569" max="2569" width="13.85546875" style="422" customWidth="1"/>
    <col min="2570" max="2570" width="25.28515625" style="422" customWidth="1"/>
    <col min="2571" max="2571" width="16.28515625" style="422" customWidth="1"/>
    <col min="2572" max="2816" width="9.28515625" style="422"/>
    <col min="2817" max="2817" width="15" style="422" customWidth="1"/>
    <col min="2818" max="2818" width="12.7109375" style="422" customWidth="1"/>
    <col min="2819" max="2819" width="11.7109375" style="422" customWidth="1"/>
    <col min="2820" max="2820" width="44.85546875" style="422" customWidth="1"/>
    <col min="2821" max="2821" width="54.7109375" style="422" customWidth="1"/>
    <col min="2822" max="2822" width="15.28515625" style="422" customWidth="1"/>
    <col min="2823" max="2824" width="19.28515625" style="422" customWidth="1"/>
    <col min="2825" max="2825" width="13.85546875" style="422" customWidth="1"/>
    <col min="2826" max="2826" width="25.28515625" style="422" customWidth="1"/>
    <col min="2827" max="2827" width="16.28515625" style="422" customWidth="1"/>
    <col min="2828" max="3072" width="9.28515625" style="422"/>
    <col min="3073" max="3073" width="15" style="422" customWidth="1"/>
    <col min="3074" max="3074" width="12.7109375" style="422" customWidth="1"/>
    <col min="3075" max="3075" width="11.7109375" style="422" customWidth="1"/>
    <col min="3076" max="3076" width="44.85546875" style="422" customWidth="1"/>
    <col min="3077" max="3077" width="54.7109375" style="422" customWidth="1"/>
    <col min="3078" max="3078" width="15.28515625" style="422" customWidth="1"/>
    <col min="3079" max="3080" width="19.28515625" style="422" customWidth="1"/>
    <col min="3081" max="3081" width="13.85546875" style="422" customWidth="1"/>
    <col min="3082" max="3082" width="25.28515625" style="422" customWidth="1"/>
    <col min="3083" max="3083" width="16.28515625" style="422" customWidth="1"/>
    <col min="3084" max="3328" width="9.28515625" style="422"/>
    <col min="3329" max="3329" width="15" style="422" customWidth="1"/>
    <col min="3330" max="3330" width="12.7109375" style="422" customWidth="1"/>
    <col min="3331" max="3331" width="11.7109375" style="422" customWidth="1"/>
    <col min="3332" max="3332" width="44.85546875" style="422" customWidth="1"/>
    <col min="3333" max="3333" width="54.7109375" style="422" customWidth="1"/>
    <col min="3334" max="3334" width="15.28515625" style="422" customWidth="1"/>
    <col min="3335" max="3336" width="19.28515625" style="422" customWidth="1"/>
    <col min="3337" max="3337" width="13.85546875" style="422" customWidth="1"/>
    <col min="3338" max="3338" width="25.28515625" style="422" customWidth="1"/>
    <col min="3339" max="3339" width="16.28515625" style="422" customWidth="1"/>
    <col min="3340" max="3584" width="9.28515625" style="422"/>
    <col min="3585" max="3585" width="15" style="422" customWidth="1"/>
    <col min="3586" max="3586" width="12.7109375" style="422" customWidth="1"/>
    <col min="3587" max="3587" width="11.7109375" style="422" customWidth="1"/>
    <col min="3588" max="3588" width="44.85546875" style="422" customWidth="1"/>
    <col min="3589" max="3589" width="54.7109375" style="422" customWidth="1"/>
    <col min="3590" max="3590" width="15.28515625" style="422" customWidth="1"/>
    <col min="3591" max="3592" width="19.28515625" style="422" customWidth="1"/>
    <col min="3593" max="3593" width="13.85546875" style="422" customWidth="1"/>
    <col min="3594" max="3594" width="25.28515625" style="422" customWidth="1"/>
    <col min="3595" max="3595" width="16.28515625" style="422" customWidth="1"/>
    <col min="3596" max="3840" width="9.28515625" style="422"/>
    <col min="3841" max="3841" width="15" style="422" customWidth="1"/>
    <col min="3842" max="3842" width="12.7109375" style="422" customWidth="1"/>
    <col min="3843" max="3843" width="11.7109375" style="422" customWidth="1"/>
    <col min="3844" max="3844" width="44.85546875" style="422" customWidth="1"/>
    <col min="3845" max="3845" width="54.7109375" style="422" customWidth="1"/>
    <col min="3846" max="3846" width="15.28515625" style="422" customWidth="1"/>
    <col min="3847" max="3848" width="19.28515625" style="422" customWidth="1"/>
    <col min="3849" max="3849" width="13.85546875" style="422" customWidth="1"/>
    <col min="3850" max="3850" width="25.28515625" style="422" customWidth="1"/>
    <col min="3851" max="3851" width="16.28515625" style="422" customWidth="1"/>
    <col min="3852" max="4096" width="9.28515625" style="422"/>
    <col min="4097" max="4097" width="15" style="422" customWidth="1"/>
    <col min="4098" max="4098" width="12.7109375" style="422" customWidth="1"/>
    <col min="4099" max="4099" width="11.7109375" style="422" customWidth="1"/>
    <col min="4100" max="4100" width="44.85546875" style="422" customWidth="1"/>
    <col min="4101" max="4101" width="54.7109375" style="422" customWidth="1"/>
    <col min="4102" max="4102" width="15.28515625" style="422" customWidth="1"/>
    <col min="4103" max="4104" width="19.28515625" style="422" customWidth="1"/>
    <col min="4105" max="4105" width="13.85546875" style="422" customWidth="1"/>
    <col min="4106" max="4106" width="25.28515625" style="422" customWidth="1"/>
    <col min="4107" max="4107" width="16.28515625" style="422" customWidth="1"/>
    <col min="4108" max="4352" width="9.28515625" style="422"/>
    <col min="4353" max="4353" width="15" style="422" customWidth="1"/>
    <col min="4354" max="4354" width="12.7109375" style="422" customWidth="1"/>
    <col min="4355" max="4355" width="11.7109375" style="422" customWidth="1"/>
    <col min="4356" max="4356" width="44.85546875" style="422" customWidth="1"/>
    <col min="4357" max="4357" width="54.7109375" style="422" customWidth="1"/>
    <col min="4358" max="4358" width="15.28515625" style="422" customWidth="1"/>
    <col min="4359" max="4360" width="19.28515625" style="422" customWidth="1"/>
    <col min="4361" max="4361" width="13.85546875" style="422" customWidth="1"/>
    <col min="4362" max="4362" width="25.28515625" style="422" customWidth="1"/>
    <col min="4363" max="4363" width="16.28515625" style="422" customWidth="1"/>
    <col min="4364" max="4608" width="9.28515625" style="422"/>
    <col min="4609" max="4609" width="15" style="422" customWidth="1"/>
    <col min="4610" max="4610" width="12.7109375" style="422" customWidth="1"/>
    <col min="4611" max="4611" width="11.7109375" style="422" customWidth="1"/>
    <col min="4612" max="4612" width="44.85546875" style="422" customWidth="1"/>
    <col min="4613" max="4613" width="54.7109375" style="422" customWidth="1"/>
    <col min="4614" max="4614" width="15.28515625" style="422" customWidth="1"/>
    <col min="4615" max="4616" width="19.28515625" style="422" customWidth="1"/>
    <col min="4617" max="4617" width="13.85546875" style="422" customWidth="1"/>
    <col min="4618" max="4618" width="25.28515625" style="422" customWidth="1"/>
    <col min="4619" max="4619" width="16.28515625" style="422" customWidth="1"/>
    <col min="4620" max="4864" width="9.28515625" style="422"/>
    <col min="4865" max="4865" width="15" style="422" customWidth="1"/>
    <col min="4866" max="4866" width="12.7109375" style="422" customWidth="1"/>
    <col min="4867" max="4867" width="11.7109375" style="422" customWidth="1"/>
    <col min="4868" max="4868" width="44.85546875" style="422" customWidth="1"/>
    <col min="4869" max="4869" width="54.7109375" style="422" customWidth="1"/>
    <col min="4870" max="4870" width="15.28515625" style="422" customWidth="1"/>
    <col min="4871" max="4872" width="19.28515625" style="422" customWidth="1"/>
    <col min="4873" max="4873" width="13.85546875" style="422" customWidth="1"/>
    <col min="4874" max="4874" width="25.28515625" style="422" customWidth="1"/>
    <col min="4875" max="4875" width="16.28515625" style="422" customWidth="1"/>
    <col min="4876" max="5120" width="9.28515625" style="422"/>
    <col min="5121" max="5121" width="15" style="422" customWidth="1"/>
    <col min="5122" max="5122" width="12.7109375" style="422" customWidth="1"/>
    <col min="5123" max="5123" width="11.7109375" style="422" customWidth="1"/>
    <col min="5124" max="5124" width="44.85546875" style="422" customWidth="1"/>
    <col min="5125" max="5125" width="54.7109375" style="422" customWidth="1"/>
    <col min="5126" max="5126" width="15.28515625" style="422" customWidth="1"/>
    <col min="5127" max="5128" width="19.28515625" style="422" customWidth="1"/>
    <col min="5129" max="5129" width="13.85546875" style="422" customWidth="1"/>
    <col min="5130" max="5130" width="25.28515625" style="422" customWidth="1"/>
    <col min="5131" max="5131" width="16.28515625" style="422" customWidth="1"/>
    <col min="5132" max="5376" width="9.28515625" style="422"/>
    <col min="5377" max="5377" width="15" style="422" customWidth="1"/>
    <col min="5378" max="5378" width="12.7109375" style="422" customWidth="1"/>
    <col min="5379" max="5379" width="11.7109375" style="422" customWidth="1"/>
    <col min="5380" max="5380" width="44.85546875" style="422" customWidth="1"/>
    <col min="5381" max="5381" width="54.7109375" style="422" customWidth="1"/>
    <col min="5382" max="5382" width="15.28515625" style="422" customWidth="1"/>
    <col min="5383" max="5384" width="19.28515625" style="422" customWidth="1"/>
    <col min="5385" max="5385" width="13.85546875" style="422" customWidth="1"/>
    <col min="5386" max="5386" width="25.28515625" style="422" customWidth="1"/>
    <col min="5387" max="5387" width="16.28515625" style="422" customWidth="1"/>
    <col min="5388" max="5632" width="9.28515625" style="422"/>
    <col min="5633" max="5633" width="15" style="422" customWidth="1"/>
    <col min="5634" max="5634" width="12.7109375" style="422" customWidth="1"/>
    <col min="5635" max="5635" width="11.7109375" style="422" customWidth="1"/>
    <col min="5636" max="5636" width="44.85546875" style="422" customWidth="1"/>
    <col min="5637" max="5637" width="54.7109375" style="422" customWidth="1"/>
    <col min="5638" max="5638" width="15.28515625" style="422" customWidth="1"/>
    <col min="5639" max="5640" width="19.28515625" style="422" customWidth="1"/>
    <col min="5641" max="5641" width="13.85546875" style="422" customWidth="1"/>
    <col min="5642" max="5642" width="25.28515625" style="422" customWidth="1"/>
    <col min="5643" max="5643" width="16.28515625" style="422" customWidth="1"/>
    <col min="5644" max="5888" width="9.28515625" style="422"/>
    <col min="5889" max="5889" width="15" style="422" customWidth="1"/>
    <col min="5890" max="5890" width="12.7109375" style="422" customWidth="1"/>
    <col min="5891" max="5891" width="11.7109375" style="422" customWidth="1"/>
    <col min="5892" max="5892" width="44.85546875" style="422" customWidth="1"/>
    <col min="5893" max="5893" width="54.7109375" style="422" customWidth="1"/>
    <col min="5894" max="5894" width="15.28515625" style="422" customWidth="1"/>
    <col min="5895" max="5896" width="19.28515625" style="422" customWidth="1"/>
    <col min="5897" max="5897" width="13.85546875" style="422" customWidth="1"/>
    <col min="5898" max="5898" width="25.28515625" style="422" customWidth="1"/>
    <col min="5899" max="5899" width="16.28515625" style="422" customWidth="1"/>
    <col min="5900" max="6144" width="9.28515625" style="422"/>
    <col min="6145" max="6145" width="15" style="422" customWidth="1"/>
    <col min="6146" max="6146" width="12.7109375" style="422" customWidth="1"/>
    <col min="6147" max="6147" width="11.7109375" style="422" customWidth="1"/>
    <col min="6148" max="6148" width="44.85546875" style="422" customWidth="1"/>
    <col min="6149" max="6149" width="54.7109375" style="422" customWidth="1"/>
    <col min="6150" max="6150" width="15.28515625" style="422" customWidth="1"/>
    <col min="6151" max="6152" width="19.28515625" style="422" customWidth="1"/>
    <col min="6153" max="6153" width="13.85546875" style="422" customWidth="1"/>
    <col min="6154" max="6154" width="25.28515625" style="422" customWidth="1"/>
    <col min="6155" max="6155" width="16.28515625" style="422" customWidth="1"/>
    <col min="6156" max="6400" width="9.28515625" style="422"/>
    <col min="6401" max="6401" width="15" style="422" customWidth="1"/>
    <col min="6402" max="6402" width="12.7109375" style="422" customWidth="1"/>
    <col min="6403" max="6403" width="11.7109375" style="422" customWidth="1"/>
    <col min="6404" max="6404" width="44.85546875" style="422" customWidth="1"/>
    <col min="6405" max="6405" width="54.7109375" style="422" customWidth="1"/>
    <col min="6406" max="6406" width="15.28515625" style="422" customWidth="1"/>
    <col min="6407" max="6408" width="19.28515625" style="422" customWidth="1"/>
    <col min="6409" max="6409" width="13.85546875" style="422" customWidth="1"/>
    <col min="6410" max="6410" width="25.28515625" style="422" customWidth="1"/>
    <col min="6411" max="6411" width="16.28515625" style="422" customWidth="1"/>
    <col min="6412" max="6656" width="9.28515625" style="422"/>
    <col min="6657" max="6657" width="15" style="422" customWidth="1"/>
    <col min="6658" max="6658" width="12.7109375" style="422" customWidth="1"/>
    <col min="6659" max="6659" width="11.7109375" style="422" customWidth="1"/>
    <col min="6660" max="6660" width="44.85546875" style="422" customWidth="1"/>
    <col min="6661" max="6661" width="54.7109375" style="422" customWidth="1"/>
    <col min="6662" max="6662" width="15.28515625" style="422" customWidth="1"/>
    <col min="6663" max="6664" width="19.28515625" style="422" customWidth="1"/>
    <col min="6665" max="6665" width="13.85546875" style="422" customWidth="1"/>
    <col min="6666" max="6666" width="25.28515625" style="422" customWidth="1"/>
    <col min="6667" max="6667" width="16.28515625" style="422" customWidth="1"/>
    <col min="6668" max="6912" width="9.28515625" style="422"/>
    <col min="6913" max="6913" width="15" style="422" customWidth="1"/>
    <col min="6914" max="6914" width="12.7109375" style="422" customWidth="1"/>
    <col min="6915" max="6915" width="11.7109375" style="422" customWidth="1"/>
    <col min="6916" max="6916" width="44.85546875" style="422" customWidth="1"/>
    <col min="6917" max="6917" width="54.7109375" style="422" customWidth="1"/>
    <col min="6918" max="6918" width="15.28515625" style="422" customWidth="1"/>
    <col min="6919" max="6920" width="19.28515625" style="422" customWidth="1"/>
    <col min="6921" max="6921" width="13.85546875" style="422" customWidth="1"/>
    <col min="6922" max="6922" width="25.28515625" style="422" customWidth="1"/>
    <col min="6923" max="6923" width="16.28515625" style="422" customWidth="1"/>
    <col min="6924" max="7168" width="9.28515625" style="422"/>
    <col min="7169" max="7169" width="15" style="422" customWidth="1"/>
    <col min="7170" max="7170" width="12.7109375" style="422" customWidth="1"/>
    <col min="7171" max="7171" width="11.7109375" style="422" customWidth="1"/>
    <col min="7172" max="7172" width="44.85546875" style="422" customWidth="1"/>
    <col min="7173" max="7173" width="54.7109375" style="422" customWidth="1"/>
    <col min="7174" max="7174" width="15.28515625" style="422" customWidth="1"/>
    <col min="7175" max="7176" width="19.28515625" style="422" customWidth="1"/>
    <col min="7177" max="7177" width="13.85546875" style="422" customWidth="1"/>
    <col min="7178" max="7178" width="25.28515625" style="422" customWidth="1"/>
    <col min="7179" max="7179" width="16.28515625" style="422" customWidth="1"/>
    <col min="7180" max="7424" width="9.28515625" style="422"/>
    <col min="7425" max="7425" width="15" style="422" customWidth="1"/>
    <col min="7426" max="7426" width="12.7109375" style="422" customWidth="1"/>
    <col min="7427" max="7427" width="11.7109375" style="422" customWidth="1"/>
    <col min="7428" max="7428" width="44.85546875" style="422" customWidth="1"/>
    <col min="7429" max="7429" width="54.7109375" style="422" customWidth="1"/>
    <col min="7430" max="7430" width="15.28515625" style="422" customWidth="1"/>
    <col min="7431" max="7432" width="19.28515625" style="422" customWidth="1"/>
    <col min="7433" max="7433" width="13.85546875" style="422" customWidth="1"/>
    <col min="7434" max="7434" width="25.28515625" style="422" customWidth="1"/>
    <col min="7435" max="7435" width="16.28515625" style="422" customWidth="1"/>
    <col min="7436" max="7680" width="9.28515625" style="422"/>
    <col min="7681" max="7681" width="15" style="422" customWidth="1"/>
    <col min="7682" max="7682" width="12.7109375" style="422" customWidth="1"/>
    <col min="7683" max="7683" width="11.7109375" style="422" customWidth="1"/>
    <col min="7684" max="7684" width="44.85546875" style="422" customWidth="1"/>
    <col min="7685" max="7685" width="54.7109375" style="422" customWidth="1"/>
    <col min="7686" max="7686" width="15.28515625" style="422" customWidth="1"/>
    <col min="7687" max="7688" width="19.28515625" style="422" customWidth="1"/>
    <col min="7689" max="7689" width="13.85546875" style="422" customWidth="1"/>
    <col min="7690" max="7690" width="25.28515625" style="422" customWidth="1"/>
    <col min="7691" max="7691" width="16.28515625" style="422" customWidth="1"/>
    <col min="7692" max="7936" width="9.28515625" style="422"/>
    <col min="7937" max="7937" width="15" style="422" customWidth="1"/>
    <col min="7938" max="7938" width="12.7109375" style="422" customWidth="1"/>
    <col min="7939" max="7939" width="11.7109375" style="422" customWidth="1"/>
    <col min="7940" max="7940" width="44.85546875" style="422" customWidth="1"/>
    <col min="7941" max="7941" width="54.7109375" style="422" customWidth="1"/>
    <col min="7942" max="7942" width="15.28515625" style="422" customWidth="1"/>
    <col min="7943" max="7944" width="19.28515625" style="422" customWidth="1"/>
    <col min="7945" max="7945" width="13.85546875" style="422" customWidth="1"/>
    <col min="7946" max="7946" width="25.28515625" style="422" customWidth="1"/>
    <col min="7947" max="7947" width="16.28515625" style="422" customWidth="1"/>
    <col min="7948" max="8192" width="9.28515625" style="422"/>
    <col min="8193" max="8193" width="15" style="422" customWidth="1"/>
    <col min="8194" max="8194" width="12.7109375" style="422" customWidth="1"/>
    <col min="8195" max="8195" width="11.7109375" style="422" customWidth="1"/>
    <col min="8196" max="8196" width="44.85546875" style="422" customWidth="1"/>
    <col min="8197" max="8197" width="54.7109375" style="422" customWidth="1"/>
    <col min="8198" max="8198" width="15.28515625" style="422" customWidth="1"/>
    <col min="8199" max="8200" width="19.28515625" style="422" customWidth="1"/>
    <col min="8201" max="8201" width="13.85546875" style="422" customWidth="1"/>
    <col min="8202" max="8202" width="25.28515625" style="422" customWidth="1"/>
    <col min="8203" max="8203" width="16.28515625" style="422" customWidth="1"/>
    <col min="8204" max="8448" width="9.28515625" style="422"/>
    <col min="8449" max="8449" width="15" style="422" customWidth="1"/>
    <col min="8450" max="8450" width="12.7109375" style="422" customWidth="1"/>
    <col min="8451" max="8451" width="11.7109375" style="422" customWidth="1"/>
    <col min="8452" max="8452" width="44.85546875" style="422" customWidth="1"/>
    <col min="8453" max="8453" width="54.7109375" style="422" customWidth="1"/>
    <col min="8454" max="8454" width="15.28515625" style="422" customWidth="1"/>
    <col min="8455" max="8456" width="19.28515625" style="422" customWidth="1"/>
    <col min="8457" max="8457" width="13.85546875" style="422" customWidth="1"/>
    <col min="8458" max="8458" width="25.28515625" style="422" customWidth="1"/>
    <col min="8459" max="8459" width="16.28515625" style="422" customWidth="1"/>
    <col min="8460" max="8704" width="9.28515625" style="422"/>
    <col min="8705" max="8705" width="15" style="422" customWidth="1"/>
    <col min="8706" max="8706" width="12.7109375" style="422" customWidth="1"/>
    <col min="8707" max="8707" width="11.7109375" style="422" customWidth="1"/>
    <col min="8708" max="8708" width="44.85546875" style="422" customWidth="1"/>
    <col min="8709" max="8709" width="54.7109375" style="422" customWidth="1"/>
    <col min="8710" max="8710" width="15.28515625" style="422" customWidth="1"/>
    <col min="8711" max="8712" width="19.28515625" style="422" customWidth="1"/>
    <col min="8713" max="8713" width="13.85546875" style="422" customWidth="1"/>
    <col min="8714" max="8714" width="25.28515625" style="422" customWidth="1"/>
    <col min="8715" max="8715" width="16.28515625" style="422" customWidth="1"/>
    <col min="8716" max="8960" width="9.28515625" style="422"/>
    <col min="8961" max="8961" width="15" style="422" customWidth="1"/>
    <col min="8962" max="8962" width="12.7109375" style="422" customWidth="1"/>
    <col min="8963" max="8963" width="11.7109375" style="422" customWidth="1"/>
    <col min="8964" max="8964" width="44.85546875" style="422" customWidth="1"/>
    <col min="8965" max="8965" width="54.7109375" style="422" customWidth="1"/>
    <col min="8966" max="8966" width="15.28515625" style="422" customWidth="1"/>
    <col min="8967" max="8968" width="19.28515625" style="422" customWidth="1"/>
    <col min="8969" max="8969" width="13.85546875" style="422" customWidth="1"/>
    <col min="8970" max="8970" width="25.28515625" style="422" customWidth="1"/>
    <col min="8971" max="8971" width="16.28515625" style="422" customWidth="1"/>
    <col min="8972" max="9216" width="9.28515625" style="422"/>
    <col min="9217" max="9217" width="15" style="422" customWidth="1"/>
    <col min="9218" max="9218" width="12.7109375" style="422" customWidth="1"/>
    <col min="9219" max="9219" width="11.7109375" style="422" customWidth="1"/>
    <col min="9220" max="9220" width="44.85546875" style="422" customWidth="1"/>
    <col min="9221" max="9221" width="54.7109375" style="422" customWidth="1"/>
    <col min="9222" max="9222" width="15.28515625" style="422" customWidth="1"/>
    <col min="9223" max="9224" width="19.28515625" style="422" customWidth="1"/>
    <col min="9225" max="9225" width="13.85546875" style="422" customWidth="1"/>
    <col min="9226" max="9226" width="25.28515625" style="422" customWidth="1"/>
    <col min="9227" max="9227" width="16.28515625" style="422" customWidth="1"/>
    <col min="9228" max="9472" width="9.28515625" style="422"/>
    <col min="9473" max="9473" width="15" style="422" customWidth="1"/>
    <col min="9474" max="9474" width="12.7109375" style="422" customWidth="1"/>
    <col min="9475" max="9475" width="11.7109375" style="422" customWidth="1"/>
    <col min="9476" max="9476" width="44.85546875" style="422" customWidth="1"/>
    <col min="9477" max="9477" width="54.7109375" style="422" customWidth="1"/>
    <col min="9478" max="9478" width="15.28515625" style="422" customWidth="1"/>
    <col min="9479" max="9480" width="19.28515625" style="422" customWidth="1"/>
    <col min="9481" max="9481" width="13.85546875" style="422" customWidth="1"/>
    <col min="9482" max="9482" width="25.28515625" style="422" customWidth="1"/>
    <col min="9483" max="9483" width="16.28515625" style="422" customWidth="1"/>
    <col min="9484" max="9728" width="9.28515625" style="422"/>
    <col min="9729" max="9729" width="15" style="422" customWidth="1"/>
    <col min="9730" max="9730" width="12.7109375" style="422" customWidth="1"/>
    <col min="9731" max="9731" width="11.7109375" style="422" customWidth="1"/>
    <col min="9732" max="9732" width="44.85546875" style="422" customWidth="1"/>
    <col min="9733" max="9733" width="54.7109375" style="422" customWidth="1"/>
    <col min="9734" max="9734" width="15.28515625" style="422" customWidth="1"/>
    <col min="9735" max="9736" width="19.28515625" style="422" customWidth="1"/>
    <col min="9737" max="9737" width="13.85546875" style="422" customWidth="1"/>
    <col min="9738" max="9738" width="25.28515625" style="422" customWidth="1"/>
    <col min="9739" max="9739" width="16.28515625" style="422" customWidth="1"/>
    <col min="9740" max="9984" width="9.28515625" style="422"/>
    <col min="9985" max="9985" width="15" style="422" customWidth="1"/>
    <col min="9986" max="9986" width="12.7109375" style="422" customWidth="1"/>
    <col min="9987" max="9987" width="11.7109375" style="422" customWidth="1"/>
    <col min="9988" max="9988" width="44.85546875" style="422" customWidth="1"/>
    <col min="9989" max="9989" width="54.7109375" style="422" customWidth="1"/>
    <col min="9990" max="9990" width="15.28515625" style="422" customWidth="1"/>
    <col min="9991" max="9992" width="19.28515625" style="422" customWidth="1"/>
    <col min="9993" max="9993" width="13.85546875" style="422" customWidth="1"/>
    <col min="9994" max="9994" width="25.28515625" style="422" customWidth="1"/>
    <col min="9995" max="9995" width="16.28515625" style="422" customWidth="1"/>
    <col min="9996" max="10240" width="9.28515625" style="422"/>
    <col min="10241" max="10241" width="15" style="422" customWidth="1"/>
    <col min="10242" max="10242" width="12.7109375" style="422" customWidth="1"/>
    <col min="10243" max="10243" width="11.7109375" style="422" customWidth="1"/>
    <col min="10244" max="10244" width="44.85546875" style="422" customWidth="1"/>
    <col min="10245" max="10245" width="54.7109375" style="422" customWidth="1"/>
    <col min="10246" max="10246" width="15.28515625" style="422" customWidth="1"/>
    <col min="10247" max="10248" width="19.28515625" style="422" customWidth="1"/>
    <col min="10249" max="10249" width="13.85546875" style="422" customWidth="1"/>
    <col min="10250" max="10250" width="25.28515625" style="422" customWidth="1"/>
    <col min="10251" max="10251" width="16.28515625" style="422" customWidth="1"/>
    <col min="10252" max="10496" width="9.28515625" style="422"/>
    <col min="10497" max="10497" width="15" style="422" customWidth="1"/>
    <col min="10498" max="10498" width="12.7109375" style="422" customWidth="1"/>
    <col min="10499" max="10499" width="11.7109375" style="422" customWidth="1"/>
    <col min="10500" max="10500" width="44.85546875" style="422" customWidth="1"/>
    <col min="10501" max="10501" width="54.7109375" style="422" customWidth="1"/>
    <col min="10502" max="10502" width="15.28515625" style="422" customWidth="1"/>
    <col min="10503" max="10504" width="19.28515625" style="422" customWidth="1"/>
    <col min="10505" max="10505" width="13.85546875" style="422" customWidth="1"/>
    <col min="10506" max="10506" width="25.28515625" style="422" customWidth="1"/>
    <col min="10507" max="10507" width="16.28515625" style="422" customWidth="1"/>
    <col min="10508" max="10752" width="9.28515625" style="422"/>
    <col min="10753" max="10753" width="15" style="422" customWidth="1"/>
    <col min="10754" max="10754" width="12.7109375" style="422" customWidth="1"/>
    <col min="10755" max="10755" width="11.7109375" style="422" customWidth="1"/>
    <col min="10756" max="10756" width="44.85546875" style="422" customWidth="1"/>
    <col min="10757" max="10757" width="54.7109375" style="422" customWidth="1"/>
    <col min="10758" max="10758" width="15.28515625" style="422" customWidth="1"/>
    <col min="10759" max="10760" width="19.28515625" style="422" customWidth="1"/>
    <col min="10761" max="10761" width="13.85546875" style="422" customWidth="1"/>
    <col min="10762" max="10762" width="25.28515625" style="422" customWidth="1"/>
    <col min="10763" max="10763" width="16.28515625" style="422" customWidth="1"/>
    <col min="10764" max="11008" width="9.28515625" style="422"/>
    <col min="11009" max="11009" width="15" style="422" customWidth="1"/>
    <col min="11010" max="11010" width="12.7109375" style="422" customWidth="1"/>
    <col min="11011" max="11011" width="11.7109375" style="422" customWidth="1"/>
    <col min="11012" max="11012" width="44.85546875" style="422" customWidth="1"/>
    <col min="11013" max="11013" width="54.7109375" style="422" customWidth="1"/>
    <col min="11014" max="11014" width="15.28515625" style="422" customWidth="1"/>
    <col min="11015" max="11016" width="19.28515625" style="422" customWidth="1"/>
    <col min="11017" max="11017" width="13.85546875" style="422" customWidth="1"/>
    <col min="11018" max="11018" width="25.28515625" style="422" customWidth="1"/>
    <col min="11019" max="11019" width="16.28515625" style="422" customWidth="1"/>
    <col min="11020" max="11264" width="9.28515625" style="422"/>
    <col min="11265" max="11265" width="15" style="422" customWidth="1"/>
    <col min="11266" max="11266" width="12.7109375" style="422" customWidth="1"/>
    <col min="11267" max="11267" width="11.7109375" style="422" customWidth="1"/>
    <col min="11268" max="11268" width="44.85546875" style="422" customWidth="1"/>
    <col min="11269" max="11269" width="54.7109375" style="422" customWidth="1"/>
    <col min="11270" max="11270" width="15.28515625" style="422" customWidth="1"/>
    <col min="11271" max="11272" width="19.28515625" style="422" customWidth="1"/>
    <col min="11273" max="11273" width="13.85546875" style="422" customWidth="1"/>
    <col min="11274" max="11274" width="25.28515625" style="422" customWidth="1"/>
    <col min="11275" max="11275" width="16.28515625" style="422" customWidth="1"/>
    <col min="11276" max="11520" width="9.28515625" style="422"/>
    <col min="11521" max="11521" width="15" style="422" customWidth="1"/>
    <col min="11522" max="11522" width="12.7109375" style="422" customWidth="1"/>
    <col min="11523" max="11523" width="11.7109375" style="422" customWidth="1"/>
    <col min="11524" max="11524" width="44.85546875" style="422" customWidth="1"/>
    <col min="11525" max="11525" width="54.7109375" style="422" customWidth="1"/>
    <col min="11526" max="11526" width="15.28515625" style="422" customWidth="1"/>
    <col min="11527" max="11528" width="19.28515625" style="422" customWidth="1"/>
    <col min="11529" max="11529" width="13.85546875" style="422" customWidth="1"/>
    <col min="11530" max="11530" width="25.28515625" style="422" customWidth="1"/>
    <col min="11531" max="11531" width="16.28515625" style="422" customWidth="1"/>
    <col min="11532" max="11776" width="9.28515625" style="422"/>
    <col min="11777" max="11777" width="15" style="422" customWidth="1"/>
    <col min="11778" max="11778" width="12.7109375" style="422" customWidth="1"/>
    <col min="11779" max="11779" width="11.7109375" style="422" customWidth="1"/>
    <col min="11780" max="11780" width="44.85546875" style="422" customWidth="1"/>
    <col min="11781" max="11781" width="54.7109375" style="422" customWidth="1"/>
    <col min="11782" max="11782" width="15.28515625" style="422" customWidth="1"/>
    <col min="11783" max="11784" width="19.28515625" style="422" customWidth="1"/>
    <col min="11785" max="11785" width="13.85546875" style="422" customWidth="1"/>
    <col min="11786" max="11786" width="25.28515625" style="422" customWidth="1"/>
    <col min="11787" max="11787" width="16.28515625" style="422" customWidth="1"/>
    <col min="11788" max="12032" width="9.28515625" style="422"/>
    <col min="12033" max="12033" width="15" style="422" customWidth="1"/>
    <col min="12034" max="12034" width="12.7109375" style="422" customWidth="1"/>
    <col min="12035" max="12035" width="11.7109375" style="422" customWidth="1"/>
    <col min="12036" max="12036" width="44.85546875" style="422" customWidth="1"/>
    <col min="12037" max="12037" width="54.7109375" style="422" customWidth="1"/>
    <col min="12038" max="12038" width="15.28515625" style="422" customWidth="1"/>
    <col min="12039" max="12040" width="19.28515625" style="422" customWidth="1"/>
    <col min="12041" max="12041" width="13.85546875" style="422" customWidth="1"/>
    <col min="12042" max="12042" width="25.28515625" style="422" customWidth="1"/>
    <col min="12043" max="12043" width="16.28515625" style="422" customWidth="1"/>
    <col min="12044" max="12288" width="9.28515625" style="422"/>
    <col min="12289" max="12289" width="15" style="422" customWidth="1"/>
    <col min="12290" max="12290" width="12.7109375" style="422" customWidth="1"/>
    <col min="12291" max="12291" width="11.7109375" style="422" customWidth="1"/>
    <col min="12292" max="12292" width="44.85546875" style="422" customWidth="1"/>
    <col min="12293" max="12293" width="54.7109375" style="422" customWidth="1"/>
    <col min="12294" max="12294" width="15.28515625" style="422" customWidth="1"/>
    <col min="12295" max="12296" width="19.28515625" style="422" customWidth="1"/>
    <col min="12297" max="12297" width="13.85546875" style="422" customWidth="1"/>
    <col min="12298" max="12298" width="25.28515625" style="422" customWidth="1"/>
    <col min="12299" max="12299" width="16.28515625" style="422" customWidth="1"/>
    <col min="12300" max="12544" width="9.28515625" style="422"/>
    <col min="12545" max="12545" width="15" style="422" customWidth="1"/>
    <col min="12546" max="12546" width="12.7109375" style="422" customWidth="1"/>
    <col min="12547" max="12547" width="11.7109375" style="422" customWidth="1"/>
    <col min="12548" max="12548" width="44.85546875" style="422" customWidth="1"/>
    <col min="12549" max="12549" width="54.7109375" style="422" customWidth="1"/>
    <col min="12550" max="12550" width="15.28515625" style="422" customWidth="1"/>
    <col min="12551" max="12552" width="19.28515625" style="422" customWidth="1"/>
    <col min="12553" max="12553" width="13.85546875" style="422" customWidth="1"/>
    <col min="12554" max="12554" width="25.28515625" style="422" customWidth="1"/>
    <col min="12555" max="12555" width="16.28515625" style="422" customWidth="1"/>
    <col min="12556" max="12800" width="9.28515625" style="422"/>
    <col min="12801" max="12801" width="15" style="422" customWidth="1"/>
    <col min="12802" max="12802" width="12.7109375" style="422" customWidth="1"/>
    <col min="12803" max="12803" width="11.7109375" style="422" customWidth="1"/>
    <col min="12804" max="12804" width="44.85546875" style="422" customWidth="1"/>
    <col min="12805" max="12805" width="54.7109375" style="422" customWidth="1"/>
    <col min="12806" max="12806" width="15.28515625" style="422" customWidth="1"/>
    <col min="12807" max="12808" width="19.28515625" style="422" customWidth="1"/>
    <col min="12809" max="12809" width="13.85546875" style="422" customWidth="1"/>
    <col min="12810" max="12810" width="25.28515625" style="422" customWidth="1"/>
    <col min="12811" max="12811" width="16.28515625" style="422" customWidth="1"/>
    <col min="12812" max="13056" width="9.28515625" style="422"/>
    <col min="13057" max="13057" width="15" style="422" customWidth="1"/>
    <col min="13058" max="13058" width="12.7109375" style="422" customWidth="1"/>
    <col min="13059" max="13059" width="11.7109375" style="422" customWidth="1"/>
    <col min="13060" max="13060" width="44.85546875" style="422" customWidth="1"/>
    <col min="13061" max="13061" width="54.7109375" style="422" customWidth="1"/>
    <col min="13062" max="13062" width="15.28515625" style="422" customWidth="1"/>
    <col min="13063" max="13064" width="19.28515625" style="422" customWidth="1"/>
    <col min="13065" max="13065" width="13.85546875" style="422" customWidth="1"/>
    <col min="13066" max="13066" width="25.28515625" style="422" customWidth="1"/>
    <col min="13067" max="13067" width="16.28515625" style="422" customWidth="1"/>
    <col min="13068" max="13312" width="9.28515625" style="422"/>
    <col min="13313" max="13313" width="15" style="422" customWidth="1"/>
    <col min="13314" max="13314" width="12.7109375" style="422" customWidth="1"/>
    <col min="13315" max="13315" width="11.7109375" style="422" customWidth="1"/>
    <col min="13316" max="13316" width="44.85546875" style="422" customWidth="1"/>
    <col min="13317" max="13317" width="54.7109375" style="422" customWidth="1"/>
    <col min="13318" max="13318" width="15.28515625" style="422" customWidth="1"/>
    <col min="13319" max="13320" width="19.28515625" style="422" customWidth="1"/>
    <col min="13321" max="13321" width="13.85546875" style="422" customWidth="1"/>
    <col min="13322" max="13322" width="25.28515625" style="422" customWidth="1"/>
    <col min="13323" max="13323" width="16.28515625" style="422" customWidth="1"/>
    <col min="13324" max="13568" width="9.28515625" style="422"/>
    <col min="13569" max="13569" width="15" style="422" customWidth="1"/>
    <col min="13570" max="13570" width="12.7109375" style="422" customWidth="1"/>
    <col min="13571" max="13571" width="11.7109375" style="422" customWidth="1"/>
    <col min="13572" max="13572" width="44.85546875" style="422" customWidth="1"/>
    <col min="13573" max="13573" width="54.7109375" style="422" customWidth="1"/>
    <col min="13574" max="13574" width="15.28515625" style="422" customWidth="1"/>
    <col min="13575" max="13576" width="19.28515625" style="422" customWidth="1"/>
    <col min="13577" max="13577" width="13.85546875" style="422" customWidth="1"/>
    <col min="13578" max="13578" width="25.28515625" style="422" customWidth="1"/>
    <col min="13579" max="13579" width="16.28515625" style="422" customWidth="1"/>
    <col min="13580" max="13824" width="9.28515625" style="422"/>
    <col min="13825" max="13825" width="15" style="422" customWidth="1"/>
    <col min="13826" max="13826" width="12.7109375" style="422" customWidth="1"/>
    <col min="13827" max="13827" width="11.7109375" style="422" customWidth="1"/>
    <col min="13828" max="13828" width="44.85546875" style="422" customWidth="1"/>
    <col min="13829" max="13829" width="54.7109375" style="422" customWidth="1"/>
    <col min="13830" max="13830" width="15.28515625" style="422" customWidth="1"/>
    <col min="13831" max="13832" width="19.28515625" style="422" customWidth="1"/>
    <col min="13833" max="13833" width="13.85546875" style="422" customWidth="1"/>
    <col min="13834" max="13834" width="25.28515625" style="422" customWidth="1"/>
    <col min="13835" max="13835" width="16.28515625" style="422" customWidth="1"/>
    <col min="13836" max="14080" width="9.28515625" style="422"/>
    <col min="14081" max="14081" width="15" style="422" customWidth="1"/>
    <col min="14082" max="14082" width="12.7109375" style="422" customWidth="1"/>
    <col min="14083" max="14083" width="11.7109375" style="422" customWidth="1"/>
    <col min="14084" max="14084" width="44.85546875" style="422" customWidth="1"/>
    <col min="14085" max="14085" width="54.7109375" style="422" customWidth="1"/>
    <col min="14086" max="14086" width="15.28515625" style="422" customWidth="1"/>
    <col min="14087" max="14088" width="19.28515625" style="422" customWidth="1"/>
    <col min="14089" max="14089" width="13.85546875" style="422" customWidth="1"/>
    <col min="14090" max="14090" width="25.28515625" style="422" customWidth="1"/>
    <col min="14091" max="14091" width="16.28515625" style="422" customWidth="1"/>
    <col min="14092" max="14336" width="9.28515625" style="422"/>
    <col min="14337" max="14337" width="15" style="422" customWidth="1"/>
    <col min="14338" max="14338" width="12.7109375" style="422" customWidth="1"/>
    <col min="14339" max="14339" width="11.7109375" style="422" customWidth="1"/>
    <col min="14340" max="14340" width="44.85546875" style="422" customWidth="1"/>
    <col min="14341" max="14341" width="54.7109375" style="422" customWidth="1"/>
    <col min="14342" max="14342" width="15.28515625" style="422" customWidth="1"/>
    <col min="14343" max="14344" width="19.28515625" style="422" customWidth="1"/>
    <col min="14345" max="14345" width="13.85546875" style="422" customWidth="1"/>
    <col min="14346" max="14346" width="25.28515625" style="422" customWidth="1"/>
    <col min="14347" max="14347" width="16.28515625" style="422" customWidth="1"/>
    <col min="14348" max="14592" width="9.28515625" style="422"/>
    <col min="14593" max="14593" width="15" style="422" customWidth="1"/>
    <col min="14594" max="14594" width="12.7109375" style="422" customWidth="1"/>
    <col min="14595" max="14595" width="11.7109375" style="422" customWidth="1"/>
    <col min="14596" max="14596" width="44.85546875" style="422" customWidth="1"/>
    <col min="14597" max="14597" width="54.7109375" style="422" customWidth="1"/>
    <col min="14598" max="14598" width="15.28515625" style="422" customWidth="1"/>
    <col min="14599" max="14600" width="19.28515625" style="422" customWidth="1"/>
    <col min="14601" max="14601" width="13.85546875" style="422" customWidth="1"/>
    <col min="14602" max="14602" width="25.28515625" style="422" customWidth="1"/>
    <col min="14603" max="14603" width="16.28515625" style="422" customWidth="1"/>
    <col min="14604" max="14848" width="9.28515625" style="422"/>
    <col min="14849" max="14849" width="15" style="422" customWidth="1"/>
    <col min="14850" max="14850" width="12.7109375" style="422" customWidth="1"/>
    <col min="14851" max="14851" width="11.7109375" style="422" customWidth="1"/>
    <col min="14852" max="14852" width="44.85546875" style="422" customWidth="1"/>
    <col min="14853" max="14853" width="54.7109375" style="422" customWidth="1"/>
    <col min="14854" max="14854" width="15.28515625" style="422" customWidth="1"/>
    <col min="14855" max="14856" width="19.28515625" style="422" customWidth="1"/>
    <col min="14857" max="14857" width="13.85546875" style="422" customWidth="1"/>
    <col min="14858" max="14858" width="25.28515625" style="422" customWidth="1"/>
    <col min="14859" max="14859" width="16.28515625" style="422" customWidth="1"/>
    <col min="14860" max="15104" width="9.28515625" style="422"/>
    <col min="15105" max="15105" width="15" style="422" customWidth="1"/>
    <col min="15106" max="15106" width="12.7109375" style="422" customWidth="1"/>
    <col min="15107" max="15107" width="11.7109375" style="422" customWidth="1"/>
    <col min="15108" max="15108" width="44.85546875" style="422" customWidth="1"/>
    <col min="15109" max="15109" width="54.7109375" style="422" customWidth="1"/>
    <col min="15110" max="15110" width="15.28515625" style="422" customWidth="1"/>
    <col min="15111" max="15112" width="19.28515625" style="422" customWidth="1"/>
    <col min="15113" max="15113" width="13.85546875" style="422" customWidth="1"/>
    <col min="15114" max="15114" width="25.28515625" style="422" customWidth="1"/>
    <col min="15115" max="15115" width="16.28515625" style="422" customWidth="1"/>
    <col min="15116" max="15360" width="9.28515625" style="422"/>
    <col min="15361" max="15361" width="15" style="422" customWidth="1"/>
    <col min="15362" max="15362" width="12.7109375" style="422" customWidth="1"/>
    <col min="15363" max="15363" width="11.7109375" style="422" customWidth="1"/>
    <col min="15364" max="15364" width="44.85546875" style="422" customWidth="1"/>
    <col min="15365" max="15365" width="54.7109375" style="422" customWidth="1"/>
    <col min="15366" max="15366" width="15.28515625" style="422" customWidth="1"/>
    <col min="15367" max="15368" width="19.28515625" style="422" customWidth="1"/>
    <col min="15369" max="15369" width="13.85546875" style="422" customWidth="1"/>
    <col min="15370" max="15370" width="25.28515625" style="422" customWidth="1"/>
    <col min="15371" max="15371" width="16.28515625" style="422" customWidth="1"/>
    <col min="15372" max="15616" width="9.28515625" style="422"/>
    <col min="15617" max="15617" width="15" style="422" customWidth="1"/>
    <col min="15618" max="15618" width="12.7109375" style="422" customWidth="1"/>
    <col min="15619" max="15619" width="11.7109375" style="422" customWidth="1"/>
    <col min="15620" max="15620" width="44.85546875" style="422" customWidth="1"/>
    <col min="15621" max="15621" width="54.7109375" style="422" customWidth="1"/>
    <col min="15622" max="15622" width="15.28515625" style="422" customWidth="1"/>
    <col min="15623" max="15624" width="19.28515625" style="422" customWidth="1"/>
    <col min="15625" max="15625" width="13.85546875" style="422" customWidth="1"/>
    <col min="15626" max="15626" width="25.28515625" style="422" customWidth="1"/>
    <col min="15627" max="15627" width="16.28515625" style="422" customWidth="1"/>
    <col min="15628" max="15872" width="9.28515625" style="422"/>
    <col min="15873" max="15873" width="15" style="422" customWidth="1"/>
    <col min="15874" max="15874" width="12.7109375" style="422" customWidth="1"/>
    <col min="15875" max="15875" width="11.7109375" style="422" customWidth="1"/>
    <col min="15876" max="15876" width="44.85546875" style="422" customWidth="1"/>
    <col min="15877" max="15877" width="54.7109375" style="422" customWidth="1"/>
    <col min="15878" max="15878" width="15.28515625" style="422" customWidth="1"/>
    <col min="15879" max="15880" width="19.28515625" style="422" customWidth="1"/>
    <col min="15881" max="15881" width="13.85546875" style="422" customWidth="1"/>
    <col min="15882" max="15882" width="25.28515625" style="422" customWidth="1"/>
    <col min="15883" max="15883" width="16.28515625" style="422" customWidth="1"/>
    <col min="15884" max="16128" width="9.28515625" style="422"/>
    <col min="16129" max="16129" width="15" style="422" customWidth="1"/>
    <col min="16130" max="16130" width="12.7109375" style="422" customWidth="1"/>
    <col min="16131" max="16131" width="11.7109375" style="422" customWidth="1"/>
    <col min="16132" max="16132" width="44.85546875" style="422" customWidth="1"/>
    <col min="16133" max="16133" width="54.7109375" style="422" customWidth="1"/>
    <col min="16134" max="16134" width="15.28515625" style="422" customWidth="1"/>
    <col min="16135" max="16136" width="19.28515625" style="422" customWidth="1"/>
    <col min="16137" max="16137" width="13.85546875" style="422" customWidth="1"/>
    <col min="16138" max="16138" width="25.28515625" style="422" customWidth="1"/>
    <col min="16139" max="16139" width="16.28515625" style="422" customWidth="1"/>
    <col min="16140" max="16384" width="9.28515625" style="422"/>
  </cols>
  <sheetData>
    <row r="1" spans="1:11" ht="15.75" x14ac:dyDescent="0.25">
      <c r="J1" s="192" t="s">
        <v>546</v>
      </c>
      <c r="K1" s="331"/>
    </row>
    <row r="2" spans="1:11" ht="15.75" x14ac:dyDescent="0.25">
      <c r="J2" s="192" t="s">
        <v>8</v>
      </c>
      <c r="K2" s="331"/>
    </row>
    <row r="3" spans="1:11" ht="15.75" x14ac:dyDescent="0.25">
      <c r="J3" s="6" t="s">
        <v>681</v>
      </c>
      <c r="K3" s="428"/>
    </row>
    <row r="4" spans="1:11" ht="15.75" x14ac:dyDescent="0.25">
      <c r="J4" s="6" t="s">
        <v>682</v>
      </c>
      <c r="K4" s="331"/>
    </row>
    <row r="5" spans="1:11" ht="15.75" x14ac:dyDescent="0.25">
      <c r="J5" s="901" t="s">
        <v>547</v>
      </c>
      <c r="K5" s="901"/>
    </row>
    <row r="7" spans="1:11" ht="15.75" x14ac:dyDescent="0.25">
      <c r="G7" s="426"/>
      <c r="H7" s="426"/>
      <c r="I7" s="426"/>
      <c r="J7" s="999" t="s">
        <v>548</v>
      </c>
      <c r="K7" s="999"/>
    </row>
    <row r="8" spans="1:11" ht="15.75" x14ac:dyDescent="0.25">
      <c r="G8" s="426"/>
      <c r="H8" s="426"/>
      <c r="I8" s="426"/>
      <c r="J8" s="999" t="s">
        <v>198</v>
      </c>
      <c r="K8" s="999"/>
    </row>
    <row r="9" spans="1:11" ht="15.75" x14ac:dyDescent="0.25">
      <c r="G9" s="426"/>
      <c r="H9" s="426"/>
      <c r="I9" s="426"/>
      <c r="J9" s="429" t="s">
        <v>549</v>
      </c>
      <c r="K9" s="430"/>
    </row>
    <row r="10" spans="1:11" ht="15.75" x14ac:dyDescent="0.25">
      <c r="G10" s="426"/>
      <c r="H10" s="426"/>
      <c r="I10" s="426"/>
      <c r="J10" s="429" t="s">
        <v>550</v>
      </c>
      <c r="K10" s="430"/>
    </row>
    <row r="11" spans="1:11" ht="14.1" customHeight="1" x14ac:dyDescent="0.25">
      <c r="G11" s="426"/>
      <c r="H11" s="426"/>
      <c r="I11" s="426"/>
      <c r="J11" s="431" t="s">
        <v>223</v>
      </c>
    </row>
    <row r="12" spans="1:11" ht="20.25" customHeight="1" x14ac:dyDescent="0.25">
      <c r="G12" s="426"/>
      <c r="H12" s="426"/>
      <c r="I12" s="426"/>
      <c r="J12" s="433" t="s">
        <v>225</v>
      </c>
    </row>
    <row r="13" spans="1:11" ht="15.75" x14ac:dyDescent="0.25">
      <c r="G13" s="426"/>
      <c r="H13" s="426"/>
      <c r="I13" s="426"/>
      <c r="J13" s="434" t="s">
        <v>551</v>
      </c>
    </row>
    <row r="14" spans="1:11" s="429" customFormat="1" ht="15.75" x14ac:dyDescent="0.25">
      <c r="A14" s="422"/>
      <c r="B14" s="423"/>
      <c r="C14" s="424"/>
      <c r="D14" s="425"/>
      <c r="E14" s="426"/>
      <c r="F14" s="424"/>
      <c r="G14" s="426"/>
      <c r="H14" s="426"/>
      <c r="I14" s="426"/>
      <c r="K14" s="435"/>
    </row>
    <row r="15" spans="1:11" ht="27" customHeight="1" x14ac:dyDescent="0.25">
      <c r="A15" s="1000" t="s">
        <v>675</v>
      </c>
      <c r="B15" s="1000"/>
      <c r="C15" s="1000"/>
      <c r="D15" s="1000"/>
      <c r="E15" s="1000"/>
      <c r="F15" s="1000"/>
      <c r="G15" s="1000"/>
      <c r="H15" s="1000"/>
      <c r="I15" s="1000"/>
      <c r="J15" s="1000"/>
      <c r="K15" s="1000"/>
    </row>
    <row r="16" spans="1:11" ht="28.35" customHeight="1" x14ac:dyDescent="0.25">
      <c r="A16" s="1001">
        <v>1559100000</v>
      </c>
      <c r="B16" s="1001"/>
      <c r="C16" s="1001"/>
      <c r="D16" s="1002"/>
      <c r="E16" s="1002"/>
      <c r="F16" s="1002"/>
      <c r="G16" s="1002"/>
      <c r="H16" s="1002"/>
      <c r="I16" s="1002"/>
      <c r="J16" s="1002"/>
      <c r="K16" s="1002"/>
    </row>
    <row r="17" spans="1:11" ht="22.15" customHeight="1" thickBot="1" x14ac:dyDescent="0.3">
      <c r="A17" s="1011" t="s">
        <v>0</v>
      </c>
      <c r="B17" s="1011"/>
      <c r="C17" s="1011"/>
      <c r="D17" s="436"/>
      <c r="E17" s="436"/>
      <c r="F17" s="437"/>
      <c r="G17" s="436"/>
      <c r="H17" s="436"/>
      <c r="I17" s="436"/>
      <c r="J17" s="436"/>
      <c r="K17" s="438" t="s">
        <v>1</v>
      </c>
    </row>
    <row r="18" spans="1:11" s="429" customFormat="1" ht="77.25" customHeight="1" x14ac:dyDescent="0.25">
      <c r="A18" s="1012" t="s">
        <v>11</v>
      </c>
      <c r="B18" s="1003" t="s">
        <v>12</v>
      </c>
      <c r="C18" s="1005" t="s">
        <v>552</v>
      </c>
      <c r="D18" s="1003" t="s">
        <v>553</v>
      </c>
      <c r="E18" s="1005" t="s">
        <v>554</v>
      </c>
      <c r="F18" s="1003" t="s">
        <v>555</v>
      </c>
      <c r="G18" s="1005" t="s">
        <v>556</v>
      </c>
      <c r="H18" s="1007" t="s">
        <v>557</v>
      </c>
      <c r="I18" s="1003" t="s">
        <v>558</v>
      </c>
      <c r="J18" s="1007" t="s">
        <v>559</v>
      </c>
      <c r="K18" s="1009" t="s">
        <v>560</v>
      </c>
    </row>
    <row r="19" spans="1:11" s="429" customFormat="1" ht="103.15" customHeight="1" thickBot="1" x14ac:dyDescent="0.3">
      <c r="A19" s="1013"/>
      <c r="B19" s="1004"/>
      <c r="C19" s="1006"/>
      <c r="D19" s="1004"/>
      <c r="E19" s="1006"/>
      <c r="F19" s="1004"/>
      <c r="G19" s="1006"/>
      <c r="H19" s="1008"/>
      <c r="I19" s="1004"/>
      <c r="J19" s="1008"/>
      <c r="K19" s="1010"/>
    </row>
    <row r="20" spans="1:11" s="444" customFormat="1" ht="24" customHeight="1" thickBot="1" x14ac:dyDescent="0.3">
      <c r="A20" s="439" t="s">
        <v>561</v>
      </c>
      <c r="B20" s="440" t="s">
        <v>562</v>
      </c>
      <c r="C20" s="441" t="s">
        <v>563</v>
      </c>
      <c r="D20" s="440" t="s">
        <v>564</v>
      </c>
      <c r="E20" s="440" t="s">
        <v>565</v>
      </c>
      <c r="F20" s="440" t="s">
        <v>566</v>
      </c>
      <c r="G20" s="440" t="s">
        <v>567</v>
      </c>
      <c r="H20" s="441" t="s">
        <v>568</v>
      </c>
      <c r="I20" s="441" t="s">
        <v>569</v>
      </c>
      <c r="J20" s="442">
        <v>11</v>
      </c>
      <c r="K20" s="443">
        <v>12</v>
      </c>
    </row>
    <row r="21" spans="1:11" s="444" customFormat="1" ht="82.9" customHeight="1" thickBot="1" x14ac:dyDescent="0.3">
      <c r="A21" s="445" t="s">
        <v>15</v>
      </c>
      <c r="B21" s="446"/>
      <c r="C21" s="447"/>
      <c r="D21" s="448" t="s">
        <v>570</v>
      </c>
      <c r="E21" s="449"/>
      <c r="F21" s="450"/>
      <c r="G21" s="451"/>
      <c r="H21" s="452"/>
      <c r="I21" s="452"/>
      <c r="J21" s="453">
        <f>J22</f>
        <v>26329446</v>
      </c>
      <c r="K21" s="454"/>
    </row>
    <row r="22" spans="1:11" s="444" customFormat="1" ht="69.599999999999994" customHeight="1" x14ac:dyDescent="0.25">
      <c r="A22" s="455" t="s">
        <v>18</v>
      </c>
      <c r="B22" s="456"/>
      <c r="C22" s="456"/>
      <c r="D22" s="457" t="s">
        <v>570</v>
      </c>
      <c r="E22" s="458"/>
      <c r="F22" s="459"/>
      <c r="G22" s="460"/>
      <c r="H22" s="461"/>
      <c r="I22" s="461"/>
      <c r="J22" s="462">
        <f>J23+J24+J25+J27+J29+J31+J26+J28+J30</f>
        <v>26329446</v>
      </c>
      <c r="K22" s="463"/>
    </row>
    <row r="23" spans="1:11" s="444" customFormat="1" ht="126" customHeight="1" x14ac:dyDescent="0.25">
      <c r="A23" s="464" t="s">
        <v>214</v>
      </c>
      <c r="B23" s="465" t="s">
        <v>215</v>
      </c>
      <c r="C23" s="465" t="s">
        <v>19</v>
      </c>
      <c r="D23" s="466" t="s">
        <v>216</v>
      </c>
      <c r="E23" s="467" t="s">
        <v>571</v>
      </c>
      <c r="F23" s="468"/>
      <c r="G23" s="469"/>
      <c r="H23" s="469"/>
      <c r="I23" s="469"/>
      <c r="J23" s="470">
        <f>160990+1934747</f>
        <v>2095737</v>
      </c>
      <c r="K23" s="471"/>
    </row>
    <row r="24" spans="1:11" s="444" customFormat="1" ht="62.25" customHeight="1" x14ac:dyDescent="0.25">
      <c r="A24" s="472" t="s">
        <v>20</v>
      </c>
      <c r="B24" s="473" t="s">
        <v>21</v>
      </c>
      <c r="C24" s="473" t="s">
        <v>22</v>
      </c>
      <c r="D24" s="474" t="s">
        <v>23</v>
      </c>
      <c r="E24" s="475" t="s">
        <v>572</v>
      </c>
      <c r="F24" s="476"/>
      <c r="G24" s="477"/>
      <c r="H24" s="477"/>
      <c r="I24" s="477"/>
      <c r="J24" s="478">
        <f>7440800+6200000+476430</f>
        <v>14117230</v>
      </c>
      <c r="K24" s="471"/>
    </row>
    <row r="25" spans="1:11" s="444" customFormat="1" ht="81" customHeight="1" x14ac:dyDescent="0.25">
      <c r="A25" s="472" t="s">
        <v>24</v>
      </c>
      <c r="B25" s="473" t="s">
        <v>25</v>
      </c>
      <c r="C25" s="473" t="s">
        <v>26</v>
      </c>
      <c r="D25" s="474" t="s">
        <v>27</v>
      </c>
      <c r="E25" s="475" t="s">
        <v>572</v>
      </c>
      <c r="F25" s="476"/>
      <c r="G25" s="477"/>
      <c r="H25" s="477"/>
      <c r="I25" s="477"/>
      <c r="J25" s="478">
        <v>304000</v>
      </c>
      <c r="K25" s="471"/>
    </row>
    <row r="26" spans="1:11" s="481" customFormat="1" ht="81" customHeight="1" x14ac:dyDescent="0.3">
      <c r="A26" s="472" t="s">
        <v>31</v>
      </c>
      <c r="B26" s="479" t="s">
        <v>32</v>
      </c>
      <c r="C26" s="479" t="s">
        <v>33</v>
      </c>
      <c r="D26" s="480" t="s">
        <v>34</v>
      </c>
      <c r="E26" s="467" t="s">
        <v>571</v>
      </c>
      <c r="F26" s="476"/>
      <c r="G26" s="477"/>
      <c r="H26" s="477"/>
      <c r="I26" s="477"/>
      <c r="J26" s="478">
        <v>517000</v>
      </c>
      <c r="K26" s="471"/>
    </row>
    <row r="27" spans="1:11" s="444" customFormat="1" ht="60" customHeight="1" x14ac:dyDescent="0.25">
      <c r="A27" s="482" t="s">
        <v>428</v>
      </c>
      <c r="B27" s="483" t="s">
        <v>429</v>
      </c>
      <c r="C27" s="483" t="s">
        <v>217</v>
      </c>
      <c r="D27" s="484" t="s">
        <v>430</v>
      </c>
      <c r="E27" s="467" t="s">
        <v>573</v>
      </c>
      <c r="F27" s="476"/>
      <c r="G27" s="477"/>
      <c r="H27" s="477"/>
      <c r="I27" s="477"/>
      <c r="J27" s="478">
        <f>51172+3885</f>
        <v>55057</v>
      </c>
      <c r="K27" s="471"/>
    </row>
    <row r="28" spans="1:11" s="481" customFormat="1" ht="99" customHeight="1" x14ac:dyDescent="0.3">
      <c r="A28" s="759" t="s">
        <v>626</v>
      </c>
      <c r="B28" s="758">
        <v>7660</v>
      </c>
      <c r="C28" s="758">
        <v>490</v>
      </c>
      <c r="D28" s="779" t="s">
        <v>503</v>
      </c>
      <c r="E28" s="467" t="s">
        <v>628</v>
      </c>
      <c r="F28" s="476"/>
      <c r="G28" s="477"/>
      <c r="H28" s="477"/>
      <c r="I28" s="477"/>
      <c r="J28" s="478">
        <v>3880</v>
      </c>
      <c r="K28" s="471"/>
    </row>
    <row r="29" spans="1:11" s="444" customFormat="1" ht="47.25" customHeight="1" x14ac:dyDescent="0.25">
      <c r="A29" s="485" t="s">
        <v>239</v>
      </c>
      <c r="B29" s="486" t="s">
        <v>240</v>
      </c>
      <c r="C29" s="486" t="s">
        <v>37</v>
      </c>
      <c r="D29" s="487" t="s">
        <v>172</v>
      </c>
      <c r="E29" s="488" t="s">
        <v>571</v>
      </c>
      <c r="F29" s="476"/>
      <c r="G29" s="477"/>
      <c r="H29" s="477"/>
      <c r="I29" s="477"/>
      <c r="J29" s="478">
        <v>755000</v>
      </c>
      <c r="K29" s="471"/>
    </row>
    <row r="30" spans="1:11" s="481" customFormat="1" ht="47.25" customHeight="1" x14ac:dyDescent="0.3">
      <c r="A30" s="780" t="s">
        <v>39</v>
      </c>
      <c r="B30" s="758" t="s">
        <v>40</v>
      </c>
      <c r="C30" s="758" t="s">
        <v>41</v>
      </c>
      <c r="D30" s="779" t="s">
        <v>42</v>
      </c>
      <c r="E30" s="475" t="s">
        <v>572</v>
      </c>
      <c r="F30" s="492"/>
      <c r="G30" s="493"/>
      <c r="H30" s="493"/>
      <c r="I30" s="493"/>
      <c r="J30" s="494">
        <v>26942</v>
      </c>
      <c r="K30" s="495"/>
    </row>
    <row r="31" spans="1:11" s="444" customFormat="1" ht="93" customHeight="1" thickBot="1" x14ac:dyDescent="0.3">
      <c r="A31" s="485" t="s">
        <v>234</v>
      </c>
      <c r="B31" s="489">
        <v>9800</v>
      </c>
      <c r="C31" s="486" t="s">
        <v>221</v>
      </c>
      <c r="D31" s="490" t="s">
        <v>235</v>
      </c>
      <c r="E31" s="491" t="s">
        <v>574</v>
      </c>
      <c r="F31" s="492"/>
      <c r="G31" s="493"/>
      <c r="H31" s="493"/>
      <c r="I31" s="493"/>
      <c r="J31" s="494">
        <f>900000+6950000+89600+515000</f>
        <v>8454600</v>
      </c>
      <c r="K31" s="495"/>
    </row>
    <row r="32" spans="1:11" s="444" customFormat="1" ht="81" customHeight="1" thickBot="1" x14ac:dyDescent="0.3">
      <c r="A32" s="496" t="s">
        <v>43</v>
      </c>
      <c r="B32" s="497" t="s">
        <v>16</v>
      </c>
      <c r="C32" s="498" t="s">
        <v>16</v>
      </c>
      <c r="D32" s="499" t="s">
        <v>44</v>
      </c>
      <c r="E32" s="500"/>
      <c r="F32" s="501"/>
      <c r="G32" s="502"/>
      <c r="H32" s="502"/>
      <c r="I32" s="502"/>
      <c r="J32" s="503">
        <f>J33</f>
        <v>443675</v>
      </c>
      <c r="K32" s="504"/>
    </row>
    <row r="33" spans="1:11" s="444" customFormat="1" ht="76.150000000000006" customHeight="1" x14ac:dyDescent="0.25">
      <c r="A33" s="505" t="s">
        <v>45</v>
      </c>
      <c r="B33" s="506" t="s">
        <v>16</v>
      </c>
      <c r="C33" s="506" t="s">
        <v>16</v>
      </c>
      <c r="D33" s="507" t="s">
        <v>44</v>
      </c>
      <c r="E33" s="508"/>
      <c r="F33" s="509"/>
      <c r="G33" s="510"/>
      <c r="H33" s="510"/>
      <c r="I33" s="510"/>
      <c r="J33" s="511">
        <f>J34+J35</f>
        <v>443675</v>
      </c>
      <c r="K33" s="512"/>
    </row>
    <row r="34" spans="1:11" s="444" customFormat="1" ht="93" customHeight="1" x14ac:dyDescent="0.25">
      <c r="A34" s="513" t="s">
        <v>50</v>
      </c>
      <c r="B34" s="514">
        <v>1021</v>
      </c>
      <c r="C34" s="515" t="s">
        <v>52</v>
      </c>
      <c r="D34" s="516" t="s">
        <v>230</v>
      </c>
      <c r="E34" s="517" t="s">
        <v>571</v>
      </c>
      <c r="F34" s="518"/>
      <c r="G34" s="519"/>
      <c r="H34" s="519"/>
      <c r="I34" s="519"/>
      <c r="J34" s="520">
        <f>168195+52080+175550</f>
        <v>395825</v>
      </c>
      <c r="K34" s="512"/>
    </row>
    <row r="35" spans="1:11" s="444" customFormat="1" ht="69" customHeight="1" x14ac:dyDescent="0.25">
      <c r="A35" s="1024" t="s">
        <v>241</v>
      </c>
      <c r="B35" s="1026" t="s">
        <v>242</v>
      </c>
      <c r="C35" s="1028" t="s">
        <v>232</v>
      </c>
      <c r="D35" s="1030" t="s">
        <v>233</v>
      </c>
      <c r="E35" s="517" t="s">
        <v>571</v>
      </c>
      <c r="F35" s="521"/>
      <c r="G35" s="522"/>
      <c r="H35" s="522"/>
      <c r="I35" s="522"/>
      <c r="J35" s="523">
        <v>47850</v>
      </c>
      <c r="K35" s="524"/>
    </row>
    <row r="36" spans="1:11" s="444" customFormat="1" ht="69" customHeight="1" thickBot="1" x14ac:dyDescent="0.3">
      <c r="A36" s="1025"/>
      <c r="B36" s="1027"/>
      <c r="C36" s="1029"/>
      <c r="D36" s="1031"/>
      <c r="E36" s="525" t="s">
        <v>575</v>
      </c>
      <c r="F36" s="526"/>
      <c r="G36" s="527"/>
      <c r="H36" s="527"/>
      <c r="I36" s="527"/>
      <c r="J36" s="528">
        <v>47850</v>
      </c>
      <c r="K36" s="529"/>
    </row>
    <row r="37" spans="1:11" s="481" customFormat="1" ht="69" customHeight="1" thickBot="1" x14ac:dyDescent="0.35">
      <c r="A37" s="496" t="s">
        <v>71</v>
      </c>
      <c r="B37" s="498" t="s">
        <v>16</v>
      </c>
      <c r="C37" s="498" t="s">
        <v>16</v>
      </c>
      <c r="D37" s="530" t="s">
        <v>72</v>
      </c>
      <c r="E37" s="531"/>
      <c r="F37" s="532"/>
      <c r="G37" s="533"/>
      <c r="H37" s="533"/>
      <c r="I37" s="533"/>
      <c r="J37" s="534">
        <f>J38</f>
        <v>5338101</v>
      </c>
      <c r="K37" s="535"/>
    </row>
    <row r="38" spans="1:11" s="481" customFormat="1" ht="76.900000000000006" customHeight="1" x14ac:dyDescent="0.3">
      <c r="A38" s="536" t="s">
        <v>73</v>
      </c>
      <c r="B38" s="537" t="s">
        <v>16</v>
      </c>
      <c r="C38" s="537" t="s">
        <v>16</v>
      </c>
      <c r="D38" s="538" t="s">
        <v>72</v>
      </c>
      <c r="E38" s="539"/>
      <c r="F38" s="540"/>
      <c r="G38" s="541"/>
      <c r="H38" s="541"/>
      <c r="I38" s="541"/>
      <c r="J38" s="542">
        <f>J39+J40+J41</f>
        <v>5338101</v>
      </c>
      <c r="K38" s="543"/>
    </row>
    <row r="39" spans="1:11" s="481" customFormat="1" ht="100.5" customHeight="1" x14ac:dyDescent="0.3">
      <c r="A39" s="544" t="s">
        <v>455</v>
      </c>
      <c r="B39" s="545" t="s">
        <v>437</v>
      </c>
      <c r="C39" s="545" t="s">
        <v>19</v>
      </c>
      <c r="D39" s="546" t="s">
        <v>438</v>
      </c>
      <c r="E39" s="467" t="s">
        <v>571</v>
      </c>
      <c r="F39" s="547"/>
      <c r="G39" s="548"/>
      <c r="H39" s="548"/>
      <c r="I39" s="548"/>
      <c r="J39" s="470">
        <v>83950</v>
      </c>
      <c r="K39" s="524"/>
    </row>
    <row r="40" spans="1:11" s="481" customFormat="1" ht="409.6" customHeight="1" x14ac:dyDescent="0.3">
      <c r="A40" s="549" t="s">
        <v>471</v>
      </c>
      <c r="B40" s="764" t="s">
        <v>472</v>
      </c>
      <c r="C40" s="764" t="s">
        <v>473</v>
      </c>
      <c r="D40" s="551" t="s">
        <v>474</v>
      </c>
      <c r="E40" s="552" t="s">
        <v>576</v>
      </c>
      <c r="F40" s="547"/>
      <c r="G40" s="548"/>
      <c r="H40" s="548"/>
      <c r="I40" s="548"/>
      <c r="J40" s="470">
        <v>3758953</v>
      </c>
      <c r="K40" s="524"/>
    </row>
    <row r="41" spans="1:11" s="481" customFormat="1" ht="409.6" customHeight="1" thickBot="1" x14ac:dyDescent="0.35">
      <c r="A41" s="768" t="s">
        <v>475</v>
      </c>
      <c r="B41" s="763" t="s">
        <v>476</v>
      </c>
      <c r="C41" s="763" t="s">
        <v>473</v>
      </c>
      <c r="D41" s="797" t="s">
        <v>477</v>
      </c>
      <c r="E41" s="798" t="s">
        <v>576</v>
      </c>
      <c r="F41" s="526"/>
      <c r="G41" s="527"/>
      <c r="H41" s="527"/>
      <c r="I41" s="527"/>
      <c r="J41" s="523">
        <v>1495198</v>
      </c>
      <c r="K41" s="529"/>
    </row>
    <row r="42" spans="1:11" s="481" customFormat="1" ht="73.150000000000006" customHeight="1" thickBot="1" x14ac:dyDescent="0.35">
      <c r="A42" s="496" t="s">
        <v>91</v>
      </c>
      <c r="B42" s="498" t="s">
        <v>16</v>
      </c>
      <c r="C42" s="498" t="s">
        <v>16</v>
      </c>
      <c r="D42" s="530" t="s">
        <v>92</v>
      </c>
      <c r="E42" s="531"/>
      <c r="F42" s="532"/>
      <c r="G42" s="533"/>
      <c r="H42" s="533"/>
      <c r="I42" s="533"/>
      <c r="J42" s="534">
        <f>J43</f>
        <v>95000</v>
      </c>
      <c r="K42" s="535"/>
    </row>
    <row r="43" spans="1:11" s="481" customFormat="1" ht="75" customHeight="1" x14ac:dyDescent="0.3">
      <c r="A43" s="536" t="s">
        <v>93</v>
      </c>
      <c r="B43" s="537" t="s">
        <v>16</v>
      </c>
      <c r="C43" s="537" t="s">
        <v>16</v>
      </c>
      <c r="D43" s="538" t="s">
        <v>92</v>
      </c>
      <c r="E43" s="539"/>
      <c r="F43" s="540"/>
      <c r="G43" s="541"/>
      <c r="H43" s="541"/>
      <c r="I43" s="541"/>
      <c r="J43" s="542">
        <f>J44+J45</f>
        <v>95000</v>
      </c>
      <c r="K43" s="543"/>
    </row>
    <row r="44" spans="1:11" s="481" customFormat="1" ht="51" customHeight="1" x14ac:dyDescent="0.3">
      <c r="A44" s="557" t="s">
        <v>100</v>
      </c>
      <c r="B44" s="558" t="s">
        <v>101</v>
      </c>
      <c r="C44" s="558" t="s">
        <v>102</v>
      </c>
      <c r="D44" s="559" t="s">
        <v>103</v>
      </c>
      <c r="E44" s="467" t="s">
        <v>571</v>
      </c>
      <c r="F44" s="560"/>
      <c r="G44" s="561"/>
      <c r="H44" s="561"/>
      <c r="I44" s="561"/>
      <c r="J44" s="562">
        <v>23000</v>
      </c>
      <c r="K44" s="563"/>
    </row>
    <row r="45" spans="1:11" s="481" customFormat="1" ht="69" customHeight="1" thickBot="1" x14ac:dyDescent="0.35">
      <c r="A45" s="544" t="s">
        <v>107</v>
      </c>
      <c r="B45" s="545" t="s">
        <v>108</v>
      </c>
      <c r="C45" s="545" t="s">
        <v>109</v>
      </c>
      <c r="D45" s="546" t="s">
        <v>110</v>
      </c>
      <c r="E45" s="467" t="s">
        <v>571</v>
      </c>
      <c r="F45" s="560"/>
      <c r="G45" s="561"/>
      <c r="H45" s="561"/>
      <c r="I45" s="561"/>
      <c r="J45" s="562">
        <v>72000</v>
      </c>
      <c r="K45" s="563"/>
    </row>
    <row r="46" spans="1:11" s="444" customFormat="1" ht="69.599999999999994" customHeight="1" thickBot="1" x14ac:dyDescent="0.3">
      <c r="A46" s="564" t="s">
        <v>128</v>
      </c>
      <c r="B46" s="446"/>
      <c r="C46" s="446"/>
      <c r="D46" s="565" t="s">
        <v>577</v>
      </c>
      <c r="E46" s="566"/>
      <c r="F46" s="450"/>
      <c r="G46" s="567"/>
      <c r="H46" s="567"/>
      <c r="I46" s="567"/>
      <c r="J46" s="503">
        <f>J47</f>
        <v>1548794</v>
      </c>
      <c r="K46" s="454"/>
    </row>
    <row r="47" spans="1:11" s="444" customFormat="1" ht="82.5" customHeight="1" x14ac:dyDescent="0.25">
      <c r="A47" s="568" t="s">
        <v>489</v>
      </c>
      <c r="B47" s="569"/>
      <c r="C47" s="569"/>
      <c r="D47" s="570" t="s">
        <v>577</v>
      </c>
      <c r="E47" s="571"/>
      <c r="F47" s="572"/>
      <c r="G47" s="573"/>
      <c r="H47" s="573"/>
      <c r="I47" s="573"/>
      <c r="J47" s="511">
        <f>SUM(J48:J50)</f>
        <v>1548794</v>
      </c>
      <c r="K47" s="574"/>
    </row>
    <row r="48" spans="1:11" s="444" customFormat="1" ht="74.45" customHeight="1" x14ac:dyDescent="0.25">
      <c r="A48" s="464" t="s">
        <v>490</v>
      </c>
      <c r="B48" s="465" t="s">
        <v>437</v>
      </c>
      <c r="C48" s="465" t="s">
        <v>19</v>
      </c>
      <c r="D48" s="466" t="s">
        <v>578</v>
      </c>
      <c r="E48" s="467" t="s">
        <v>571</v>
      </c>
      <c r="F48" s="575"/>
      <c r="G48" s="576"/>
      <c r="H48" s="576"/>
      <c r="I48" s="576"/>
      <c r="J48" s="470">
        <v>23000</v>
      </c>
      <c r="K48" s="577"/>
    </row>
    <row r="49" spans="1:11" s="481" customFormat="1" ht="84.6" customHeight="1" x14ac:dyDescent="0.3">
      <c r="A49" s="578" t="s">
        <v>643</v>
      </c>
      <c r="B49" s="579" t="s">
        <v>279</v>
      </c>
      <c r="C49" s="579" t="s">
        <v>29</v>
      </c>
      <c r="D49" s="580" t="s">
        <v>278</v>
      </c>
      <c r="E49" s="467" t="s">
        <v>579</v>
      </c>
      <c r="F49" s="575"/>
      <c r="G49" s="576"/>
      <c r="H49" s="576"/>
      <c r="I49" s="576"/>
      <c r="J49" s="470">
        <v>429418</v>
      </c>
      <c r="K49" s="577"/>
    </row>
    <row r="50" spans="1:11" s="444" customFormat="1" ht="183.6" customHeight="1" x14ac:dyDescent="0.25">
      <c r="A50" s="482" t="s">
        <v>243</v>
      </c>
      <c r="B50" s="550" t="s">
        <v>244</v>
      </c>
      <c r="C50" s="550" t="s">
        <v>245</v>
      </c>
      <c r="D50" s="581" t="s">
        <v>246</v>
      </c>
      <c r="E50" s="582" t="s">
        <v>580</v>
      </c>
      <c r="F50" s="473" t="s">
        <v>581</v>
      </c>
      <c r="G50" s="583">
        <v>19130675</v>
      </c>
      <c r="H50" s="583">
        <f>5536036+201301.9+19600</f>
        <v>5756937.9000000004</v>
      </c>
      <c r="I50" s="584">
        <f>H50/G50</f>
        <v>0.30092706608627245</v>
      </c>
      <c r="J50" s="470">
        <v>1096376</v>
      </c>
      <c r="K50" s="585">
        <v>1</v>
      </c>
    </row>
    <row r="51" spans="1:11" s="444" customFormat="1" ht="68.45" customHeight="1" thickBot="1" x14ac:dyDescent="0.3">
      <c r="A51" s="586" t="s">
        <v>146</v>
      </c>
      <c r="B51" s="587"/>
      <c r="C51" s="587"/>
      <c r="D51" s="588" t="s">
        <v>582</v>
      </c>
      <c r="E51" s="589"/>
      <c r="F51" s="587"/>
      <c r="G51" s="590"/>
      <c r="H51" s="590"/>
      <c r="I51" s="590"/>
      <c r="J51" s="556">
        <f>J52</f>
        <v>94852409</v>
      </c>
      <c r="K51" s="591"/>
    </row>
    <row r="52" spans="1:11" s="444" customFormat="1" ht="68.45" customHeight="1" x14ac:dyDescent="0.25">
      <c r="A52" s="568" t="s">
        <v>491</v>
      </c>
      <c r="B52" s="509"/>
      <c r="C52" s="592"/>
      <c r="D52" s="593" t="s">
        <v>582</v>
      </c>
      <c r="E52" s="594"/>
      <c r="F52" s="595"/>
      <c r="G52" s="596"/>
      <c r="H52" s="596"/>
      <c r="I52" s="596"/>
      <c r="J52" s="596">
        <f>J53+J55+J58+J59+J61+J62+J63+J64+J65+J67+J69+J71+J72+J74+J75+J76+J77+J79+J81+J83+J85+J86+J87+J89+J91+J93+J94+J96+J98+J100+J101+J103+J104</f>
        <v>94852409</v>
      </c>
      <c r="K52" s="597"/>
    </row>
    <row r="53" spans="1:11" s="444" customFormat="1" ht="139.5" x14ac:dyDescent="0.25">
      <c r="A53" s="1032">
        <v>1511010</v>
      </c>
      <c r="B53" s="1034" t="s">
        <v>47</v>
      </c>
      <c r="C53" s="1034" t="s">
        <v>48</v>
      </c>
      <c r="D53" s="1036" t="s">
        <v>49</v>
      </c>
      <c r="E53" s="598" t="s">
        <v>583</v>
      </c>
      <c r="F53" s="1014" t="s">
        <v>581</v>
      </c>
      <c r="G53" s="607">
        <v>7637524</v>
      </c>
      <c r="H53" s="607">
        <v>46740</v>
      </c>
      <c r="I53" s="792">
        <f>H53/G53</f>
        <v>6.1197843699083631E-3</v>
      </c>
      <c r="J53" s="607">
        <f>9031278-1958878</f>
        <v>7072400</v>
      </c>
      <c r="K53" s="601">
        <v>1</v>
      </c>
    </row>
    <row r="54" spans="1:11" s="444" customFormat="1" ht="37.9" customHeight="1" x14ac:dyDescent="0.25">
      <c r="A54" s="1033"/>
      <c r="B54" s="1035"/>
      <c r="C54" s="1035"/>
      <c r="D54" s="1037"/>
      <c r="E54" s="602" t="s">
        <v>584</v>
      </c>
      <c r="F54" s="1015"/>
      <c r="G54" s="603">
        <v>70164</v>
      </c>
      <c r="H54" s="603">
        <v>0</v>
      </c>
      <c r="I54" s="793">
        <f>H54/G54</f>
        <v>0</v>
      </c>
      <c r="J54" s="603">
        <v>70164</v>
      </c>
      <c r="K54" s="604">
        <v>1</v>
      </c>
    </row>
    <row r="55" spans="1:11" s="444" customFormat="1" ht="175.15" customHeight="1" x14ac:dyDescent="0.25">
      <c r="A55" s="1016" t="s">
        <v>170</v>
      </c>
      <c r="B55" s="1018" t="s">
        <v>51</v>
      </c>
      <c r="C55" s="1018" t="s">
        <v>52</v>
      </c>
      <c r="D55" s="1020" t="s">
        <v>230</v>
      </c>
      <c r="E55" s="598" t="s">
        <v>586</v>
      </c>
      <c r="F55" s="1022" t="s">
        <v>587</v>
      </c>
      <c r="G55" s="610">
        <v>14125483</v>
      </c>
      <c r="H55" s="611">
        <v>1040629</v>
      </c>
      <c r="I55" s="612">
        <f>H55/G55</f>
        <v>7.3670330423391536E-2</v>
      </c>
      <c r="J55" s="610">
        <f>13886420-1086770</f>
        <v>12799650</v>
      </c>
      <c r="K55" s="601">
        <v>1</v>
      </c>
    </row>
    <row r="56" spans="1:11" s="444" customFormat="1" ht="25.15" customHeight="1" x14ac:dyDescent="0.25">
      <c r="A56" s="1017"/>
      <c r="B56" s="1019"/>
      <c r="C56" s="1019"/>
      <c r="D56" s="1021"/>
      <c r="E56" s="602" t="s">
        <v>588</v>
      </c>
      <c r="F56" s="1023"/>
      <c r="G56" s="613">
        <v>1218131</v>
      </c>
      <c r="H56" s="614">
        <v>1040629</v>
      </c>
      <c r="I56" s="615">
        <v>1</v>
      </c>
      <c r="J56" s="599"/>
      <c r="K56" s="616">
        <v>1</v>
      </c>
    </row>
    <row r="57" spans="1:11" s="444" customFormat="1" ht="32.450000000000003" customHeight="1" x14ac:dyDescent="0.25">
      <c r="A57" s="755"/>
      <c r="B57" s="756"/>
      <c r="C57" s="756"/>
      <c r="D57" s="757"/>
      <c r="E57" s="602" t="s">
        <v>601</v>
      </c>
      <c r="F57" s="754"/>
      <c r="G57" s="603">
        <v>109935</v>
      </c>
      <c r="H57" s="603"/>
      <c r="I57" s="794"/>
      <c r="J57" s="607">
        <v>109935</v>
      </c>
      <c r="K57" s="616">
        <v>1</v>
      </c>
    </row>
    <row r="58" spans="1:11" s="444" customFormat="1" ht="225" customHeight="1" x14ac:dyDescent="0.25">
      <c r="A58" s="617" t="s">
        <v>170</v>
      </c>
      <c r="B58" s="465" t="s">
        <v>51</v>
      </c>
      <c r="C58" s="465" t="s">
        <v>52</v>
      </c>
      <c r="D58" s="621" t="s">
        <v>230</v>
      </c>
      <c r="E58" s="598" t="s">
        <v>632</v>
      </c>
      <c r="F58" s="645" t="s">
        <v>585</v>
      </c>
      <c r="G58" s="599">
        <v>1703165</v>
      </c>
      <c r="H58" s="619">
        <v>0</v>
      </c>
      <c r="I58" s="620">
        <v>0</v>
      </c>
      <c r="J58" s="599">
        <f>1703165-1374659</f>
        <v>328506</v>
      </c>
      <c r="K58" s="883">
        <f>J58/G58</f>
        <v>0.19287972686146088</v>
      </c>
    </row>
    <row r="59" spans="1:11" s="444" customFormat="1" ht="154.15" customHeight="1" x14ac:dyDescent="0.25">
      <c r="A59" s="1016" t="s">
        <v>170</v>
      </c>
      <c r="B59" s="1018" t="s">
        <v>51</v>
      </c>
      <c r="C59" s="1018" t="s">
        <v>52</v>
      </c>
      <c r="D59" s="1020" t="s">
        <v>230</v>
      </c>
      <c r="E59" s="598" t="s">
        <v>589</v>
      </c>
      <c r="F59" s="1038" t="s">
        <v>581</v>
      </c>
      <c r="G59" s="607">
        <v>2706711</v>
      </c>
      <c r="H59" s="607">
        <v>48439</v>
      </c>
      <c r="I59" s="792">
        <f>H59/G59</f>
        <v>1.7895889143687671E-2</v>
      </c>
      <c r="J59" s="607">
        <f>2521750+136522</f>
        <v>2658272</v>
      </c>
      <c r="K59" s="601">
        <v>1</v>
      </c>
    </row>
    <row r="60" spans="1:11" s="444" customFormat="1" ht="46.15" customHeight="1" x14ac:dyDescent="0.25">
      <c r="A60" s="1017"/>
      <c r="B60" s="1019"/>
      <c r="C60" s="1019"/>
      <c r="D60" s="1021"/>
      <c r="E60" s="602" t="s">
        <v>584</v>
      </c>
      <c r="F60" s="1039"/>
      <c r="G60" s="603">
        <v>68893</v>
      </c>
      <c r="H60" s="603">
        <v>0</v>
      </c>
      <c r="I60" s="793">
        <f>H60/G60</f>
        <v>0</v>
      </c>
      <c r="J60" s="603">
        <v>68893</v>
      </c>
      <c r="K60" s="622">
        <v>1</v>
      </c>
    </row>
    <row r="61" spans="1:11" s="444" customFormat="1" ht="207" customHeight="1" x14ac:dyDescent="0.25">
      <c r="A61" s="617" t="s">
        <v>170</v>
      </c>
      <c r="B61" s="465" t="s">
        <v>51</v>
      </c>
      <c r="C61" s="623" t="s">
        <v>52</v>
      </c>
      <c r="D61" s="626" t="s">
        <v>230</v>
      </c>
      <c r="E61" s="624" t="s">
        <v>590</v>
      </c>
      <c r="F61" s="606" t="s">
        <v>585</v>
      </c>
      <c r="G61" s="607">
        <v>200000</v>
      </c>
      <c r="H61" s="607">
        <v>0</v>
      </c>
      <c r="I61" s="608">
        <v>0</v>
      </c>
      <c r="J61" s="607">
        <v>200000</v>
      </c>
      <c r="K61" s="625">
        <v>1</v>
      </c>
    </row>
    <row r="62" spans="1:11" s="630" customFormat="1" ht="179.45" customHeight="1" x14ac:dyDescent="0.25">
      <c r="A62" s="482" t="s">
        <v>247</v>
      </c>
      <c r="B62" s="550" t="s">
        <v>21</v>
      </c>
      <c r="C62" s="550" t="s">
        <v>22</v>
      </c>
      <c r="D62" s="627" t="s">
        <v>23</v>
      </c>
      <c r="E62" s="552" t="s">
        <v>592</v>
      </c>
      <c r="F62" s="628" t="s">
        <v>581</v>
      </c>
      <c r="G62" s="629">
        <v>1463482</v>
      </c>
      <c r="H62" s="629">
        <v>1264348</v>
      </c>
      <c r="I62" s="612">
        <f>H62/G62</f>
        <v>0.86393136369289136</v>
      </c>
      <c r="J62" s="610">
        <v>103135</v>
      </c>
      <c r="K62" s="601">
        <v>1</v>
      </c>
    </row>
    <row r="63" spans="1:11" s="630" customFormat="1" ht="163.15" customHeight="1" x14ac:dyDescent="0.25">
      <c r="A63" s="485" t="s">
        <v>247</v>
      </c>
      <c r="B63" s="579" t="s">
        <v>21</v>
      </c>
      <c r="C63" s="579" t="s">
        <v>22</v>
      </c>
      <c r="D63" s="631" t="s">
        <v>23</v>
      </c>
      <c r="E63" s="632" t="s">
        <v>593</v>
      </c>
      <c r="F63" s="628" t="s">
        <v>581</v>
      </c>
      <c r="G63" s="629">
        <v>959821</v>
      </c>
      <c r="H63" s="629">
        <v>365336</v>
      </c>
      <c r="I63" s="600">
        <f>H63/G63</f>
        <v>0.38062930483913149</v>
      </c>
      <c r="J63" s="610">
        <v>509663</v>
      </c>
      <c r="K63" s="601">
        <v>1</v>
      </c>
    </row>
    <row r="64" spans="1:11" s="630" customFormat="1" ht="154.9" customHeight="1" x14ac:dyDescent="0.25">
      <c r="A64" s="485" t="s">
        <v>247</v>
      </c>
      <c r="B64" s="579" t="s">
        <v>21</v>
      </c>
      <c r="C64" s="579" t="s">
        <v>22</v>
      </c>
      <c r="D64" s="631" t="s">
        <v>23</v>
      </c>
      <c r="E64" s="552" t="s">
        <v>594</v>
      </c>
      <c r="F64" s="633" t="s">
        <v>585</v>
      </c>
      <c r="G64" s="629">
        <v>1281292</v>
      </c>
      <c r="H64" s="629">
        <v>0</v>
      </c>
      <c r="I64" s="600">
        <v>0</v>
      </c>
      <c r="J64" s="610">
        <v>1281292</v>
      </c>
      <c r="K64" s="601">
        <v>1</v>
      </c>
    </row>
    <row r="65" spans="1:12" s="630" customFormat="1" ht="114" customHeight="1" x14ac:dyDescent="0.25">
      <c r="A65" s="1024" t="s">
        <v>248</v>
      </c>
      <c r="B65" s="1026" t="s">
        <v>108</v>
      </c>
      <c r="C65" s="1026" t="s">
        <v>109</v>
      </c>
      <c r="D65" s="1042" t="s">
        <v>249</v>
      </c>
      <c r="E65" s="552" t="s">
        <v>595</v>
      </c>
      <c r="F65" s="1044" t="s">
        <v>581</v>
      </c>
      <c r="G65" s="629">
        <v>522185</v>
      </c>
      <c r="H65" s="629">
        <v>0</v>
      </c>
      <c r="I65" s="634">
        <v>0</v>
      </c>
      <c r="J65" s="610">
        <f>385436+136749</f>
        <v>522185</v>
      </c>
      <c r="K65" s="601">
        <v>1</v>
      </c>
    </row>
    <row r="66" spans="1:12" s="630" customFormat="1" ht="33" customHeight="1" x14ac:dyDescent="0.25">
      <c r="A66" s="1040"/>
      <c r="B66" s="1041"/>
      <c r="C66" s="1041"/>
      <c r="D66" s="1043"/>
      <c r="E66" s="602" t="s">
        <v>596</v>
      </c>
      <c r="F66" s="1045"/>
      <c r="G66" s="635">
        <v>49996</v>
      </c>
      <c r="H66" s="635">
        <v>0</v>
      </c>
      <c r="I66" s="636">
        <v>0</v>
      </c>
      <c r="J66" s="637">
        <f>54268-4272</f>
        <v>49996</v>
      </c>
      <c r="K66" s="604">
        <v>1</v>
      </c>
    </row>
    <row r="67" spans="1:12" s="630" customFormat="1" ht="130.15" customHeight="1" x14ac:dyDescent="0.25">
      <c r="A67" s="1024" t="s">
        <v>248</v>
      </c>
      <c r="B67" s="1026" t="s">
        <v>108</v>
      </c>
      <c r="C67" s="1026" t="s">
        <v>109</v>
      </c>
      <c r="D67" s="1042" t="s">
        <v>249</v>
      </c>
      <c r="E67" s="638" t="s">
        <v>597</v>
      </c>
      <c r="F67" s="1046" t="s">
        <v>585</v>
      </c>
      <c r="G67" s="629">
        <v>6065841</v>
      </c>
      <c r="H67" s="629">
        <v>0</v>
      </c>
      <c r="I67" s="639">
        <v>0</v>
      </c>
      <c r="J67" s="610">
        <f>6065841-2355841</f>
        <v>3710000</v>
      </c>
      <c r="K67" s="884">
        <f>J67/G67</f>
        <v>0.61162170258007087</v>
      </c>
    </row>
    <row r="68" spans="1:12" s="630" customFormat="1" ht="35.450000000000003" customHeight="1" x14ac:dyDescent="0.25">
      <c r="A68" s="1040"/>
      <c r="B68" s="1041"/>
      <c r="C68" s="1041"/>
      <c r="D68" s="1043"/>
      <c r="E68" s="640" t="s">
        <v>598</v>
      </c>
      <c r="F68" s="1047"/>
      <c r="G68" s="635">
        <v>181142</v>
      </c>
      <c r="H68" s="635">
        <v>0</v>
      </c>
      <c r="I68" s="641">
        <v>0</v>
      </c>
      <c r="J68" s="637">
        <v>181142</v>
      </c>
      <c r="K68" s="885">
        <v>1</v>
      </c>
    </row>
    <row r="69" spans="1:12" s="630" customFormat="1" ht="140.44999999999999" customHeight="1" x14ac:dyDescent="0.25">
      <c r="A69" s="1048" t="s">
        <v>493</v>
      </c>
      <c r="B69" s="1026" t="s">
        <v>279</v>
      </c>
      <c r="C69" s="1026" t="s">
        <v>29</v>
      </c>
      <c r="D69" s="1042" t="s">
        <v>278</v>
      </c>
      <c r="E69" s="552" t="s">
        <v>599</v>
      </c>
      <c r="F69" s="1044" t="s">
        <v>600</v>
      </c>
      <c r="G69" s="647">
        <v>15864964</v>
      </c>
      <c r="H69" s="647">
        <v>280376</v>
      </c>
      <c r="I69" s="792">
        <f>H69/G69</f>
        <v>1.7672652771225955E-2</v>
      </c>
      <c r="J69" s="784">
        <v>7702800</v>
      </c>
      <c r="K69" s="884">
        <v>0.503</v>
      </c>
      <c r="L69" s="877"/>
    </row>
    <row r="70" spans="1:12" s="630" customFormat="1" ht="31.15" customHeight="1" x14ac:dyDescent="0.25">
      <c r="A70" s="1049"/>
      <c r="B70" s="1041"/>
      <c r="C70" s="1041"/>
      <c r="D70" s="1043"/>
      <c r="E70" s="640" t="s">
        <v>601</v>
      </c>
      <c r="F70" s="1050"/>
      <c r="G70" s="795">
        <v>304420</v>
      </c>
      <c r="H70" s="795"/>
      <c r="I70" s="796"/>
      <c r="J70" s="649">
        <f>319312-14892</f>
        <v>304420</v>
      </c>
      <c r="K70" s="604">
        <v>1</v>
      </c>
    </row>
    <row r="71" spans="1:12" s="630" customFormat="1" ht="66" customHeight="1" x14ac:dyDescent="0.25">
      <c r="A71" s="549" t="s">
        <v>493</v>
      </c>
      <c r="B71" s="550" t="s">
        <v>279</v>
      </c>
      <c r="C71" s="550" t="s">
        <v>29</v>
      </c>
      <c r="D71" s="627" t="s">
        <v>278</v>
      </c>
      <c r="E71" s="552" t="s">
        <v>602</v>
      </c>
      <c r="F71" s="642" t="s">
        <v>603</v>
      </c>
      <c r="G71" s="629">
        <v>26523362</v>
      </c>
      <c r="H71" s="629">
        <v>12630501</v>
      </c>
      <c r="I71" s="639">
        <v>0.47599999999999998</v>
      </c>
      <c r="J71" s="610">
        <v>112000</v>
      </c>
      <c r="K71" s="643">
        <v>0.48</v>
      </c>
    </row>
    <row r="72" spans="1:12" s="630" customFormat="1" ht="132" customHeight="1" x14ac:dyDescent="0.25">
      <c r="A72" s="1051" t="s">
        <v>493</v>
      </c>
      <c r="B72" s="1027" t="s">
        <v>279</v>
      </c>
      <c r="C72" s="1027" t="s">
        <v>29</v>
      </c>
      <c r="D72" s="1052" t="s">
        <v>278</v>
      </c>
      <c r="E72" s="598" t="s">
        <v>604</v>
      </c>
      <c r="F72" s="1053" t="s">
        <v>585</v>
      </c>
      <c r="G72" s="629">
        <v>2235052</v>
      </c>
      <c r="H72" s="629">
        <v>0</v>
      </c>
      <c r="I72" s="639">
        <v>0</v>
      </c>
      <c r="J72" s="610">
        <v>2235052</v>
      </c>
      <c r="K72" s="643">
        <v>1</v>
      </c>
    </row>
    <row r="73" spans="1:12" s="630" customFormat="1" ht="23.25" x14ac:dyDescent="0.25">
      <c r="A73" s="1049"/>
      <c r="B73" s="1041"/>
      <c r="C73" s="1041"/>
      <c r="D73" s="1043"/>
      <c r="E73" s="602" t="s">
        <v>596</v>
      </c>
      <c r="F73" s="1054"/>
      <c r="G73" s="635">
        <v>220000</v>
      </c>
      <c r="H73" s="635">
        <v>0</v>
      </c>
      <c r="I73" s="641">
        <v>0</v>
      </c>
      <c r="J73" s="637">
        <v>220000</v>
      </c>
      <c r="K73" s="644">
        <v>1</v>
      </c>
    </row>
    <row r="74" spans="1:12" s="630" customFormat="1" ht="93" x14ac:dyDescent="0.25">
      <c r="A74" s="549" t="s">
        <v>493</v>
      </c>
      <c r="B74" s="764" t="s">
        <v>279</v>
      </c>
      <c r="C74" s="764" t="s">
        <v>29</v>
      </c>
      <c r="D74" s="765" t="s">
        <v>278</v>
      </c>
      <c r="E74" s="598" t="s">
        <v>629</v>
      </c>
      <c r="F74" s="781" t="s">
        <v>585</v>
      </c>
      <c r="G74" s="629">
        <v>216960</v>
      </c>
      <c r="H74" s="629">
        <v>0</v>
      </c>
      <c r="I74" s="639">
        <v>0</v>
      </c>
      <c r="J74" s="610">
        <f>216960-178130</f>
        <v>38830</v>
      </c>
      <c r="K74" s="884">
        <f>J74/G74</f>
        <v>0.17897308259587022</v>
      </c>
    </row>
    <row r="75" spans="1:12" s="646" customFormat="1" ht="120.6" customHeight="1" x14ac:dyDescent="0.3">
      <c r="A75" s="578" t="s">
        <v>276</v>
      </c>
      <c r="B75" s="579" t="s">
        <v>135</v>
      </c>
      <c r="C75" s="579" t="s">
        <v>29</v>
      </c>
      <c r="D75" s="631" t="s">
        <v>136</v>
      </c>
      <c r="E75" s="598" t="s">
        <v>605</v>
      </c>
      <c r="F75" s="645" t="s">
        <v>585</v>
      </c>
      <c r="G75" s="629">
        <v>240066</v>
      </c>
      <c r="H75" s="629">
        <v>0</v>
      </c>
      <c r="I75" s="639">
        <v>0</v>
      </c>
      <c r="J75" s="610">
        <v>213272</v>
      </c>
      <c r="K75" s="601">
        <v>1</v>
      </c>
    </row>
    <row r="76" spans="1:12" s="646" customFormat="1" ht="97.9" customHeight="1" x14ac:dyDescent="0.3">
      <c r="A76" s="578" t="s">
        <v>276</v>
      </c>
      <c r="B76" s="579" t="s">
        <v>135</v>
      </c>
      <c r="C76" s="579" t="s">
        <v>29</v>
      </c>
      <c r="D76" s="631" t="s">
        <v>136</v>
      </c>
      <c r="E76" s="598" t="s">
        <v>606</v>
      </c>
      <c r="F76" s="645" t="s">
        <v>585</v>
      </c>
      <c r="G76" s="629">
        <v>497120</v>
      </c>
      <c r="H76" s="629">
        <v>0</v>
      </c>
      <c r="I76" s="620">
        <v>0</v>
      </c>
      <c r="J76" s="610">
        <v>497120</v>
      </c>
      <c r="K76" s="601">
        <v>1</v>
      </c>
    </row>
    <row r="77" spans="1:12" s="630" customFormat="1" ht="79.900000000000006" customHeight="1" x14ac:dyDescent="0.25">
      <c r="A77" s="1024" t="s">
        <v>250</v>
      </c>
      <c r="B77" s="1026" t="s">
        <v>28</v>
      </c>
      <c r="C77" s="1026" t="s">
        <v>29</v>
      </c>
      <c r="D77" s="1042" t="s">
        <v>30</v>
      </c>
      <c r="E77" s="552" t="s">
        <v>607</v>
      </c>
      <c r="F77" s="1044" t="s">
        <v>581</v>
      </c>
      <c r="G77" s="647">
        <v>19493749</v>
      </c>
      <c r="H77" s="629">
        <v>2769967</v>
      </c>
      <c r="I77" s="600">
        <f>H77/G77</f>
        <v>0.14209514034473308</v>
      </c>
      <c r="J77" s="784">
        <f>8403808+8248242-4300000</f>
        <v>12352050</v>
      </c>
      <c r="K77" s="601">
        <v>1</v>
      </c>
    </row>
    <row r="78" spans="1:12" s="630" customFormat="1" ht="42" customHeight="1" x14ac:dyDescent="0.25">
      <c r="A78" s="1040"/>
      <c r="B78" s="1041"/>
      <c r="C78" s="1041"/>
      <c r="D78" s="1043"/>
      <c r="E78" s="648" t="s">
        <v>584</v>
      </c>
      <c r="F78" s="1050"/>
      <c r="G78" s="649">
        <v>288770</v>
      </c>
      <c r="H78" s="635">
        <v>0</v>
      </c>
      <c r="I78" s="615">
        <v>0</v>
      </c>
      <c r="J78" s="637">
        <v>288770</v>
      </c>
      <c r="K78" s="604">
        <v>1</v>
      </c>
    </row>
    <row r="79" spans="1:12" s="630" customFormat="1" ht="90.6" customHeight="1" x14ac:dyDescent="0.25">
      <c r="A79" s="1024" t="s">
        <v>250</v>
      </c>
      <c r="B79" s="1026" t="s">
        <v>28</v>
      </c>
      <c r="C79" s="1026" t="s">
        <v>29</v>
      </c>
      <c r="D79" s="1042" t="s">
        <v>30</v>
      </c>
      <c r="E79" s="650" t="s">
        <v>608</v>
      </c>
      <c r="F79" s="1055" t="s">
        <v>581</v>
      </c>
      <c r="G79" s="629">
        <v>3777567</v>
      </c>
      <c r="H79" s="629">
        <v>1516531</v>
      </c>
      <c r="I79" s="600">
        <f>H79/G79</f>
        <v>0.40145707541388415</v>
      </c>
      <c r="J79" s="610">
        <f>2127676+133360-1011118</f>
        <v>1249918</v>
      </c>
      <c r="K79" s="884">
        <v>0.73199999999999998</v>
      </c>
    </row>
    <row r="80" spans="1:12" s="630" customFormat="1" ht="44.25" customHeight="1" x14ac:dyDescent="0.25">
      <c r="A80" s="1040"/>
      <c r="B80" s="1041"/>
      <c r="C80" s="1041"/>
      <c r="D80" s="1043"/>
      <c r="E80" s="648" t="s">
        <v>584</v>
      </c>
      <c r="F80" s="1050"/>
      <c r="G80" s="637">
        <v>140204</v>
      </c>
      <c r="H80" s="635"/>
      <c r="I80" s="636"/>
      <c r="J80" s="637">
        <f>156490-16286</f>
        <v>140204</v>
      </c>
      <c r="K80" s="604">
        <v>1</v>
      </c>
    </row>
    <row r="81" spans="1:13" s="630" customFormat="1" ht="99" customHeight="1" x14ac:dyDescent="0.25">
      <c r="A81" s="1024" t="s">
        <v>250</v>
      </c>
      <c r="B81" s="1026" t="s">
        <v>28</v>
      </c>
      <c r="C81" s="1026" t="s">
        <v>29</v>
      </c>
      <c r="D81" s="1042" t="s">
        <v>30</v>
      </c>
      <c r="E81" s="632" t="s">
        <v>609</v>
      </c>
      <c r="F81" s="1055" t="s">
        <v>581</v>
      </c>
      <c r="G81" s="651">
        <v>8765524</v>
      </c>
      <c r="H81" s="651">
        <v>6428440</v>
      </c>
      <c r="I81" s="612">
        <f>H81/G81</f>
        <v>0.73337771934684115</v>
      </c>
      <c r="J81" s="651">
        <f>1495530+36203+678421</f>
        <v>2210154</v>
      </c>
      <c r="K81" s="652">
        <v>1</v>
      </c>
    </row>
    <row r="82" spans="1:13" s="630" customFormat="1" ht="48.6" customHeight="1" x14ac:dyDescent="0.25">
      <c r="A82" s="1040"/>
      <c r="B82" s="1041"/>
      <c r="C82" s="1041"/>
      <c r="D82" s="1043"/>
      <c r="E82" s="653" t="s">
        <v>584</v>
      </c>
      <c r="F82" s="1050"/>
      <c r="G82" s="654">
        <v>31042</v>
      </c>
      <c r="H82" s="654">
        <v>0</v>
      </c>
      <c r="I82" s="655">
        <v>0</v>
      </c>
      <c r="J82" s="654">
        <v>31042</v>
      </c>
      <c r="K82" s="604">
        <v>1</v>
      </c>
    </row>
    <row r="83" spans="1:13" s="630" customFormat="1" ht="122.45" customHeight="1" x14ac:dyDescent="0.25">
      <c r="A83" s="1024" t="s">
        <v>250</v>
      </c>
      <c r="B83" s="1026" t="s">
        <v>28</v>
      </c>
      <c r="C83" s="1026" t="s">
        <v>29</v>
      </c>
      <c r="D83" s="1042" t="s">
        <v>30</v>
      </c>
      <c r="E83" s="632" t="s">
        <v>610</v>
      </c>
      <c r="F83" s="1055" t="s">
        <v>581</v>
      </c>
      <c r="G83" s="656">
        <v>4732997</v>
      </c>
      <c r="H83" s="618">
        <v>2839893</v>
      </c>
      <c r="I83" s="612">
        <f>H83/G83</f>
        <v>0.60002002959224354</v>
      </c>
      <c r="J83" s="618">
        <f>1644000+36659+101276</f>
        <v>1781935</v>
      </c>
      <c r="K83" s="884">
        <v>1</v>
      </c>
      <c r="M83" s="657"/>
    </row>
    <row r="84" spans="1:13" s="630" customFormat="1" ht="36" customHeight="1" x14ac:dyDescent="0.25">
      <c r="A84" s="1040"/>
      <c r="B84" s="1041"/>
      <c r="C84" s="1041"/>
      <c r="D84" s="1043"/>
      <c r="E84" s="653" t="s">
        <v>584</v>
      </c>
      <c r="F84" s="1045"/>
      <c r="G84" s="596">
        <v>30686</v>
      </c>
      <c r="H84" s="596">
        <v>0</v>
      </c>
      <c r="I84" s="655">
        <v>0</v>
      </c>
      <c r="J84" s="596">
        <v>30686</v>
      </c>
      <c r="K84" s="616">
        <v>1</v>
      </c>
    </row>
    <row r="85" spans="1:13" s="630" customFormat="1" ht="115.15" customHeight="1" x14ac:dyDescent="0.25">
      <c r="A85" s="482" t="s">
        <v>250</v>
      </c>
      <c r="B85" s="550" t="s">
        <v>28</v>
      </c>
      <c r="C85" s="550" t="s">
        <v>29</v>
      </c>
      <c r="D85" s="627" t="s">
        <v>611</v>
      </c>
      <c r="E85" s="605" t="s">
        <v>664</v>
      </c>
      <c r="F85" s="606" t="s">
        <v>585</v>
      </c>
      <c r="G85" s="658">
        <v>156690</v>
      </c>
      <c r="H85" s="658">
        <v>0</v>
      </c>
      <c r="I85" s="600">
        <v>0</v>
      </c>
      <c r="J85" s="658">
        <v>156690</v>
      </c>
      <c r="K85" s="609">
        <v>1</v>
      </c>
    </row>
    <row r="86" spans="1:13" s="630" customFormat="1" ht="112.9" customHeight="1" x14ac:dyDescent="0.25">
      <c r="A86" s="482" t="s">
        <v>250</v>
      </c>
      <c r="B86" s="550" t="s">
        <v>28</v>
      </c>
      <c r="C86" s="550" t="s">
        <v>29</v>
      </c>
      <c r="D86" s="627" t="s">
        <v>611</v>
      </c>
      <c r="E86" s="605" t="s">
        <v>612</v>
      </c>
      <c r="F86" s="659" t="s">
        <v>585</v>
      </c>
      <c r="G86" s="658">
        <v>350000</v>
      </c>
      <c r="H86" s="658">
        <v>0</v>
      </c>
      <c r="I86" s="600">
        <v>0</v>
      </c>
      <c r="J86" s="658">
        <v>337000</v>
      </c>
      <c r="K86" s="609">
        <v>1</v>
      </c>
    </row>
    <row r="87" spans="1:13" s="630" customFormat="1" ht="185.45" customHeight="1" x14ac:dyDescent="0.25">
      <c r="A87" s="1024" t="s">
        <v>251</v>
      </c>
      <c r="B87" s="1026" t="s">
        <v>252</v>
      </c>
      <c r="C87" s="1026" t="s">
        <v>148</v>
      </c>
      <c r="D87" s="1042" t="s">
        <v>253</v>
      </c>
      <c r="E87" s="660" t="s">
        <v>613</v>
      </c>
      <c r="F87" s="1022" t="s">
        <v>587</v>
      </c>
      <c r="G87" s="618">
        <v>2900000</v>
      </c>
      <c r="H87" s="618">
        <v>307755</v>
      </c>
      <c r="I87" s="612">
        <f>H87/G87</f>
        <v>0.10612241379310344</v>
      </c>
      <c r="J87" s="618">
        <v>307755</v>
      </c>
      <c r="K87" s="601">
        <v>0.106</v>
      </c>
    </row>
    <row r="88" spans="1:13" s="630" customFormat="1" ht="58.15" customHeight="1" x14ac:dyDescent="0.25">
      <c r="A88" s="1040"/>
      <c r="B88" s="1041"/>
      <c r="C88" s="1041"/>
      <c r="D88" s="1043"/>
      <c r="E88" s="661" t="s">
        <v>575</v>
      </c>
      <c r="F88" s="1023"/>
      <c r="G88" s="596"/>
      <c r="H88" s="662"/>
      <c r="I88" s="663"/>
      <c r="J88" s="596">
        <v>307755</v>
      </c>
      <c r="K88" s="616">
        <v>1</v>
      </c>
    </row>
    <row r="89" spans="1:13" s="630" customFormat="1" ht="151.9" customHeight="1" x14ac:dyDescent="0.25">
      <c r="A89" s="1024" t="s">
        <v>289</v>
      </c>
      <c r="B89" s="1026" t="s">
        <v>290</v>
      </c>
      <c r="C89" s="1026" t="s">
        <v>148</v>
      </c>
      <c r="D89" s="1042" t="s">
        <v>291</v>
      </c>
      <c r="E89" s="638" t="s">
        <v>614</v>
      </c>
      <c r="F89" s="1046" t="s">
        <v>585</v>
      </c>
      <c r="G89" s="658">
        <v>6711848</v>
      </c>
      <c r="H89" s="664">
        <v>0</v>
      </c>
      <c r="I89" s="665">
        <v>0</v>
      </c>
      <c r="J89" s="658">
        <f>3323992+2520508</f>
        <v>5844500</v>
      </c>
      <c r="K89" s="609">
        <v>1</v>
      </c>
    </row>
    <row r="90" spans="1:13" s="630" customFormat="1" ht="36.6" customHeight="1" x14ac:dyDescent="0.25">
      <c r="A90" s="1040"/>
      <c r="B90" s="1041"/>
      <c r="C90" s="1041"/>
      <c r="D90" s="1043"/>
      <c r="E90" s="640" t="s">
        <v>598</v>
      </c>
      <c r="F90" s="1047"/>
      <c r="G90" s="596">
        <v>169440</v>
      </c>
      <c r="H90" s="662">
        <v>0</v>
      </c>
      <c r="I90" s="663">
        <v>0</v>
      </c>
      <c r="J90" s="596">
        <v>169440</v>
      </c>
      <c r="K90" s="616">
        <v>1</v>
      </c>
    </row>
    <row r="91" spans="1:13" s="630" customFormat="1" ht="92.45" customHeight="1" x14ac:dyDescent="0.25">
      <c r="A91" s="1056" t="s">
        <v>254</v>
      </c>
      <c r="B91" s="1057" t="s">
        <v>255</v>
      </c>
      <c r="C91" s="1057" t="s">
        <v>148</v>
      </c>
      <c r="D91" s="1058" t="s">
        <v>256</v>
      </c>
      <c r="E91" s="650" t="s">
        <v>615</v>
      </c>
      <c r="F91" s="1059" t="s">
        <v>581</v>
      </c>
      <c r="G91" s="658">
        <v>1630569</v>
      </c>
      <c r="H91" s="658">
        <v>68017</v>
      </c>
      <c r="I91" s="600">
        <f>H91/G91</f>
        <v>4.1713659464886185E-2</v>
      </c>
      <c r="J91" s="658">
        <f>1865034-302482</f>
        <v>1562552</v>
      </c>
      <c r="K91" s="609">
        <v>1</v>
      </c>
    </row>
    <row r="92" spans="1:13" s="630" customFormat="1" ht="37.9" customHeight="1" x14ac:dyDescent="0.25">
      <c r="A92" s="1056"/>
      <c r="B92" s="1057"/>
      <c r="C92" s="1057"/>
      <c r="D92" s="1058"/>
      <c r="E92" s="648" t="s">
        <v>584</v>
      </c>
      <c r="F92" s="1060"/>
      <c r="G92" s="596">
        <v>61026</v>
      </c>
      <c r="H92" s="662"/>
      <c r="I92" s="663"/>
      <c r="J92" s="596">
        <f>64438-3412</f>
        <v>61026</v>
      </c>
      <c r="K92" s="616">
        <v>1</v>
      </c>
    </row>
    <row r="93" spans="1:13" s="630" customFormat="1" ht="148.9" customHeight="1" x14ac:dyDescent="0.25">
      <c r="A93" s="472" t="s">
        <v>149</v>
      </c>
      <c r="B93" s="545" t="s">
        <v>150</v>
      </c>
      <c r="C93" s="545" t="s">
        <v>148</v>
      </c>
      <c r="D93" s="581" t="s">
        <v>151</v>
      </c>
      <c r="E93" s="666" t="s">
        <v>616</v>
      </c>
      <c r="F93" s="667" t="s">
        <v>587</v>
      </c>
      <c r="G93" s="668">
        <v>2524014</v>
      </c>
      <c r="H93" s="658">
        <v>1516987</v>
      </c>
      <c r="I93" s="600">
        <f>H93/G93</f>
        <v>0.60102162666292658</v>
      </c>
      <c r="J93" s="658">
        <f>724014+196092</f>
        <v>920106</v>
      </c>
      <c r="K93" s="609">
        <v>1</v>
      </c>
    </row>
    <row r="94" spans="1:13" s="630" customFormat="1" ht="142.9" customHeight="1" x14ac:dyDescent="0.25">
      <c r="A94" s="1032" t="s">
        <v>149</v>
      </c>
      <c r="B94" s="1034" t="s">
        <v>150</v>
      </c>
      <c r="C94" s="1034" t="s">
        <v>148</v>
      </c>
      <c r="D94" s="1036" t="s">
        <v>151</v>
      </c>
      <c r="E94" s="669" t="s">
        <v>617</v>
      </c>
      <c r="F94" s="1059" t="s">
        <v>587</v>
      </c>
      <c r="G94" s="670">
        <v>54681642</v>
      </c>
      <c r="H94" s="671">
        <v>0</v>
      </c>
      <c r="I94" s="672">
        <v>0</v>
      </c>
      <c r="J94" s="889">
        <f>2000000+170000+9642593</f>
        <v>11812593</v>
      </c>
      <c r="K94" s="625">
        <v>0.22</v>
      </c>
    </row>
    <row r="95" spans="1:13" s="630" customFormat="1" ht="35.450000000000003" customHeight="1" x14ac:dyDescent="0.25">
      <c r="A95" s="1033"/>
      <c r="B95" s="1035"/>
      <c r="C95" s="1035"/>
      <c r="D95" s="1037"/>
      <c r="E95" s="673" t="s">
        <v>588</v>
      </c>
      <c r="F95" s="1060"/>
      <c r="G95" s="674">
        <v>2479764</v>
      </c>
      <c r="H95" s="675"/>
      <c r="I95" s="676"/>
      <c r="J95" s="674">
        <v>2170000</v>
      </c>
      <c r="K95" s="677">
        <v>1</v>
      </c>
    </row>
    <row r="96" spans="1:13" s="444" customFormat="1" ht="79.150000000000006" customHeight="1" x14ac:dyDescent="0.25">
      <c r="A96" s="1024" t="s">
        <v>257</v>
      </c>
      <c r="B96" s="1026" t="s">
        <v>139</v>
      </c>
      <c r="C96" s="1026" t="s">
        <v>140</v>
      </c>
      <c r="D96" s="1042" t="s">
        <v>141</v>
      </c>
      <c r="E96" s="632" t="s">
        <v>618</v>
      </c>
      <c r="F96" s="1059" t="s">
        <v>581</v>
      </c>
      <c r="G96" s="678">
        <v>7511969</v>
      </c>
      <c r="H96" s="679">
        <v>3870015</v>
      </c>
      <c r="I96" s="612">
        <f>H96/G96</f>
        <v>0.51517984166335085</v>
      </c>
      <c r="J96" s="618">
        <f>4443182-907522-395910+28673</f>
        <v>3168423</v>
      </c>
      <c r="K96" s="601">
        <v>1</v>
      </c>
    </row>
    <row r="97" spans="1:11" s="444" customFormat="1" ht="34.15" customHeight="1" x14ac:dyDescent="0.25">
      <c r="A97" s="1040"/>
      <c r="B97" s="1041"/>
      <c r="C97" s="1041"/>
      <c r="D97" s="1043"/>
      <c r="E97" s="602" t="s">
        <v>584</v>
      </c>
      <c r="F97" s="1060"/>
      <c r="G97" s="680">
        <v>222463</v>
      </c>
      <c r="H97" s="548">
        <v>119898.08</v>
      </c>
      <c r="I97" s="612">
        <f>H97/G97</f>
        <v>0.53895739965747114</v>
      </c>
      <c r="J97" s="654">
        <v>102564</v>
      </c>
      <c r="K97" s="604">
        <v>1</v>
      </c>
    </row>
    <row r="98" spans="1:11" s="630" customFormat="1" ht="127.9" customHeight="1" x14ac:dyDescent="0.25">
      <c r="A98" s="1024" t="s">
        <v>257</v>
      </c>
      <c r="B98" s="1026" t="s">
        <v>139</v>
      </c>
      <c r="C98" s="1026" t="s">
        <v>140</v>
      </c>
      <c r="D98" s="1042" t="s">
        <v>141</v>
      </c>
      <c r="E98" s="681" t="s">
        <v>619</v>
      </c>
      <c r="F98" s="1068" t="s">
        <v>585</v>
      </c>
      <c r="G98" s="678">
        <v>63678761</v>
      </c>
      <c r="H98" s="469">
        <v>0</v>
      </c>
      <c r="I98" s="682">
        <v>0</v>
      </c>
      <c r="J98" s="656">
        <f>751850+10000000</f>
        <v>10751850</v>
      </c>
      <c r="K98" s="601">
        <v>0.16880000000000001</v>
      </c>
    </row>
    <row r="99" spans="1:11" s="630" customFormat="1" ht="35.450000000000003" customHeight="1" x14ac:dyDescent="0.25">
      <c r="A99" s="1040"/>
      <c r="B99" s="1041"/>
      <c r="C99" s="1041"/>
      <c r="D99" s="1043"/>
      <c r="E99" s="653" t="s">
        <v>598</v>
      </c>
      <c r="F99" s="1069"/>
      <c r="G99" s="680">
        <v>864504</v>
      </c>
      <c r="H99" s="469">
        <v>0</v>
      </c>
      <c r="I99" s="682">
        <v>0</v>
      </c>
      <c r="J99" s="654">
        <v>751850</v>
      </c>
      <c r="K99" s="604">
        <v>1</v>
      </c>
    </row>
    <row r="100" spans="1:11" s="630" customFormat="1" ht="99" customHeight="1" x14ac:dyDescent="0.25">
      <c r="A100" s="769" t="s">
        <v>257</v>
      </c>
      <c r="B100" s="766" t="s">
        <v>139</v>
      </c>
      <c r="C100" s="766" t="s">
        <v>140</v>
      </c>
      <c r="D100" s="767" t="s">
        <v>141</v>
      </c>
      <c r="E100" s="783" t="s">
        <v>630</v>
      </c>
      <c r="F100" s="782" t="s">
        <v>585</v>
      </c>
      <c r="G100" s="678">
        <v>382628</v>
      </c>
      <c r="H100" s="469">
        <v>0</v>
      </c>
      <c r="I100" s="682">
        <v>0</v>
      </c>
      <c r="J100" s="618">
        <v>382628</v>
      </c>
      <c r="K100" s="601">
        <v>1</v>
      </c>
    </row>
    <row r="101" spans="1:11" s="444" customFormat="1" ht="113.45" customHeight="1" x14ac:dyDescent="0.25">
      <c r="A101" s="1024" t="s">
        <v>258</v>
      </c>
      <c r="B101" s="1026" t="s">
        <v>238</v>
      </c>
      <c r="C101" s="1026" t="s">
        <v>217</v>
      </c>
      <c r="D101" s="1042" t="s">
        <v>259</v>
      </c>
      <c r="E101" s="632" t="s">
        <v>620</v>
      </c>
      <c r="F101" s="1059" t="s">
        <v>591</v>
      </c>
      <c r="G101" s="678">
        <v>1550395</v>
      </c>
      <c r="H101" s="469">
        <f>1043205+468060</f>
        <v>1511265</v>
      </c>
      <c r="I101" s="683">
        <v>1</v>
      </c>
      <c r="J101" s="684">
        <v>468060</v>
      </c>
      <c r="K101" s="685">
        <v>1</v>
      </c>
    </row>
    <row r="102" spans="1:11" s="444" customFormat="1" ht="60.6" customHeight="1" x14ac:dyDescent="0.25">
      <c r="A102" s="1040"/>
      <c r="B102" s="1041"/>
      <c r="C102" s="1041"/>
      <c r="D102" s="1043"/>
      <c r="E102" s="686" t="s">
        <v>575</v>
      </c>
      <c r="F102" s="1060"/>
      <c r="G102" s="687"/>
      <c r="H102" s="667"/>
      <c r="I102" s="688"/>
      <c r="J102" s="689">
        <v>468060</v>
      </c>
      <c r="K102" s="690">
        <v>1</v>
      </c>
    </row>
    <row r="103" spans="1:11" s="444" customFormat="1" ht="91.9" customHeight="1" x14ac:dyDescent="0.25">
      <c r="A103" s="482" t="s">
        <v>258</v>
      </c>
      <c r="B103" s="550" t="s">
        <v>238</v>
      </c>
      <c r="C103" s="550" t="s">
        <v>217</v>
      </c>
      <c r="D103" s="627" t="s">
        <v>259</v>
      </c>
      <c r="E103" s="669" t="s">
        <v>621</v>
      </c>
      <c r="F103" s="667" t="s">
        <v>581</v>
      </c>
      <c r="G103" s="678">
        <v>982460</v>
      </c>
      <c r="H103" s="469">
        <v>200000</v>
      </c>
      <c r="I103" s="612">
        <f>H103/G103</f>
        <v>0.20357062882967245</v>
      </c>
      <c r="J103" s="684">
        <v>782460</v>
      </c>
      <c r="K103" s="601">
        <v>1</v>
      </c>
    </row>
    <row r="104" spans="1:11" s="444" customFormat="1" ht="94.5" customHeight="1" x14ac:dyDescent="0.25">
      <c r="A104" s="482" t="s">
        <v>258</v>
      </c>
      <c r="B104" s="550" t="s">
        <v>238</v>
      </c>
      <c r="C104" s="550" t="s">
        <v>217</v>
      </c>
      <c r="D104" s="627" t="s">
        <v>259</v>
      </c>
      <c r="E104" s="632" t="s">
        <v>622</v>
      </c>
      <c r="F104" s="691" t="s">
        <v>585</v>
      </c>
      <c r="G104" s="678">
        <v>779558</v>
      </c>
      <c r="H104" s="469">
        <v>0</v>
      </c>
      <c r="I104" s="692">
        <v>0</v>
      </c>
      <c r="J104" s="684">
        <v>779558</v>
      </c>
      <c r="K104" s="601">
        <v>1</v>
      </c>
    </row>
    <row r="105" spans="1:11" s="481" customFormat="1" ht="79.150000000000006" customHeight="1" thickBot="1" x14ac:dyDescent="0.35">
      <c r="A105" s="553" t="s">
        <v>494</v>
      </c>
      <c r="B105" s="554" t="s">
        <v>16</v>
      </c>
      <c r="C105" s="554" t="s">
        <v>16</v>
      </c>
      <c r="D105" s="555" t="s">
        <v>218</v>
      </c>
      <c r="E105" s="693"/>
      <c r="F105" s="694"/>
      <c r="G105" s="695"/>
      <c r="H105" s="696"/>
      <c r="I105" s="697"/>
      <c r="J105" s="698">
        <f>J106</f>
        <v>10025000</v>
      </c>
      <c r="K105" s="699"/>
    </row>
    <row r="106" spans="1:11" s="481" customFormat="1" ht="77.45" customHeight="1" x14ac:dyDescent="0.3">
      <c r="A106" s="536" t="s">
        <v>495</v>
      </c>
      <c r="B106" s="537" t="s">
        <v>16</v>
      </c>
      <c r="C106" s="537" t="s">
        <v>16</v>
      </c>
      <c r="D106" s="538" t="s">
        <v>218</v>
      </c>
      <c r="E106" s="700"/>
      <c r="F106" s="701"/>
      <c r="G106" s="702"/>
      <c r="H106" s="703"/>
      <c r="I106" s="704"/>
      <c r="J106" s="705">
        <f>J107</f>
        <v>10025000</v>
      </c>
      <c r="K106" s="706"/>
    </row>
    <row r="107" spans="1:11" s="444" customFormat="1" ht="103.9" customHeight="1" x14ac:dyDescent="0.25">
      <c r="A107" s="807" t="s">
        <v>285</v>
      </c>
      <c r="B107" s="764" t="s">
        <v>286</v>
      </c>
      <c r="C107" s="764" t="s">
        <v>148</v>
      </c>
      <c r="D107" s="808" t="s">
        <v>284</v>
      </c>
      <c r="E107" s="552" t="s">
        <v>623</v>
      </c>
      <c r="F107" s="809"/>
      <c r="G107" s="678"/>
      <c r="H107" s="469"/>
      <c r="I107" s="692"/>
      <c r="J107" s="684">
        <v>10025000</v>
      </c>
      <c r="K107" s="601"/>
    </row>
    <row r="108" spans="1:11" s="444" customFormat="1" ht="66" customHeight="1" thickBot="1" x14ac:dyDescent="0.3">
      <c r="A108" s="553" t="s">
        <v>500</v>
      </c>
      <c r="B108" s="554" t="s">
        <v>16</v>
      </c>
      <c r="C108" s="554" t="s">
        <v>16</v>
      </c>
      <c r="D108" s="799" t="s">
        <v>220</v>
      </c>
      <c r="E108" s="800"/>
      <c r="F108" s="801"/>
      <c r="G108" s="802"/>
      <c r="H108" s="803"/>
      <c r="I108" s="804"/>
      <c r="J108" s="805">
        <f>J109</f>
        <v>61400</v>
      </c>
      <c r="K108" s="806"/>
    </row>
    <row r="109" spans="1:11" s="444" customFormat="1" ht="60.75" x14ac:dyDescent="0.25">
      <c r="A109" s="505" t="s">
        <v>501</v>
      </c>
      <c r="B109" s="506" t="s">
        <v>16</v>
      </c>
      <c r="C109" s="506" t="s">
        <v>16</v>
      </c>
      <c r="D109" s="507" t="s">
        <v>220</v>
      </c>
      <c r="E109" s="707"/>
      <c r="F109" s="707"/>
      <c r="G109" s="708"/>
      <c r="H109" s="709"/>
      <c r="I109" s="710"/>
      <c r="J109" s="511">
        <f>SUM(J110:J110)</f>
        <v>61400</v>
      </c>
      <c r="K109" s="616"/>
    </row>
    <row r="110" spans="1:11" s="444" customFormat="1" ht="100.15" customHeight="1" x14ac:dyDescent="0.25">
      <c r="A110" s="1032">
        <v>3117660</v>
      </c>
      <c r="B110" s="1034">
        <v>7660</v>
      </c>
      <c r="C110" s="1034">
        <v>490</v>
      </c>
      <c r="D110" s="1036" t="s">
        <v>503</v>
      </c>
      <c r="E110" s="711" t="s">
        <v>624</v>
      </c>
      <c r="F110" s="1064"/>
      <c r="G110" s="712"/>
      <c r="H110" s="713"/>
      <c r="I110" s="714"/>
      <c r="J110" s="715">
        <f>J111+25200+16200</f>
        <v>61400</v>
      </c>
      <c r="K110" s="1066"/>
    </row>
    <row r="111" spans="1:11" s="444" customFormat="1" ht="67.900000000000006" customHeight="1" thickBot="1" x14ac:dyDescent="0.3">
      <c r="A111" s="1061"/>
      <c r="B111" s="1062"/>
      <c r="C111" s="1062"/>
      <c r="D111" s="1063"/>
      <c r="E111" s="716" t="s">
        <v>575</v>
      </c>
      <c r="F111" s="1065"/>
      <c r="G111" s="712"/>
      <c r="H111" s="713"/>
      <c r="I111" s="714"/>
      <c r="J111" s="715">
        <v>20000</v>
      </c>
      <c r="K111" s="1067"/>
    </row>
    <row r="112" spans="1:11" ht="40.15" customHeight="1" thickBot="1" x14ac:dyDescent="0.3">
      <c r="A112" s="717" t="s">
        <v>199</v>
      </c>
      <c r="B112" s="450" t="s">
        <v>199</v>
      </c>
      <c r="C112" s="450" t="s">
        <v>199</v>
      </c>
      <c r="D112" s="718" t="s">
        <v>152</v>
      </c>
      <c r="E112" s="719" t="s">
        <v>199</v>
      </c>
      <c r="F112" s="720" t="s">
        <v>199</v>
      </c>
      <c r="G112" s="721" t="s">
        <v>199</v>
      </c>
      <c r="H112" s="721" t="s">
        <v>199</v>
      </c>
      <c r="I112" s="721" t="s">
        <v>199</v>
      </c>
      <c r="J112" s="722">
        <f>J51+J46+J37+J21+J108+J32+J42+J105</f>
        <v>138693825</v>
      </c>
      <c r="K112" s="454" t="s">
        <v>199</v>
      </c>
    </row>
    <row r="113" spans="1:16" s="731" customFormat="1" ht="20.25" x14ac:dyDescent="0.25">
      <c r="A113" s="723"/>
      <c r="B113" s="724"/>
      <c r="C113" s="724"/>
      <c r="D113" s="725"/>
      <c r="E113" s="726"/>
      <c r="F113" s="727"/>
      <c r="G113" s="728"/>
      <c r="H113" s="728"/>
      <c r="I113" s="728"/>
      <c r="J113" s="729"/>
      <c r="K113" s="730"/>
    </row>
    <row r="114" spans="1:16" s="733" customFormat="1" ht="28.9" customHeight="1" x14ac:dyDescent="0.2">
      <c r="A114" s="988" t="s">
        <v>683</v>
      </c>
      <c r="B114" s="988"/>
      <c r="C114" s="988"/>
      <c r="D114" s="988"/>
      <c r="E114" s="196"/>
      <c r="F114" s="196"/>
      <c r="G114" s="196"/>
      <c r="H114" s="196"/>
      <c r="I114" s="196"/>
      <c r="J114" s="196" t="s">
        <v>684</v>
      </c>
      <c r="K114" s="732"/>
      <c r="L114" s="103"/>
      <c r="M114" s="196"/>
      <c r="N114" s="196"/>
      <c r="O114" s="104"/>
      <c r="P114" s="105"/>
    </row>
    <row r="115" spans="1:16" s="731" customFormat="1" x14ac:dyDescent="0.25">
      <c r="B115" s="734"/>
      <c r="C115" s="735"/>
      <c r="D115" s="736"/>
      <c r="E115" s="737"/>
      <c r="F115" s="735"/>
      <c r="G115" s="738"/>
      <c r="H115" s="738"/>
      <c r="I115" s="738"/>
      <c r="J115" s="739"/>
      <c r="K115" s="739"/>
    </row>
    <row r="116" spans="1:16" s="741" customFormat="1" ht="20.25" x14ac:dyDescent="0.3">
      <c r="A116" s="740"/>
      <c r="B116" s="740"/>
      <c r="G116" s="742"/>
      <c r="K116" s="743"/>
    </row>
    <row r="117" spans="1:16" s="745" customFormat="1" ht="21" x14ac:dyDescent="0.35">
      <c r="A117" s="744"/>
      <c r="B117" s="744"/>
      <c r="J117" s="867"/>
      <c r="K117" s="746"/>
    </row>
    <row r="118" spans="1:16" s="747" customFormat="1" ht="20.25" x14ac:dyDescent="0.3">
      <c r="B118" s="748"/>
      <c r="C118" s="749"/>
      <c r="E118" s="750"/>
      <c r="F118" s="749"/>
      <c r="G118" s="751"/>
      <c r="H118" s="751"/>
      <c r="I118" s="751"/>
      <c r="J118" s="752"/>
      <c r="K118" s="752"/>
    </row>
    <row r="119" spans="1:16" x14ac:dyDescent="0.25">
      <c r="B119" s="422"/>
      <c r="C119" s="422"/>
      <c r="D119" s="422"/>
      <c r="E119" s="422"/>
      <c r="F119" s="422"/>
      <c r="G119" s="422"/>
      <c r="H119" s="422"/>
      <c r="I119" s="422"/>
      <c r="J119" s="422"/>
      <c r="K119" s="753"/>
    </row>
    <row r="120" spans="1:16" x14ac:dyDescent="0.25">
      <c r="B120" s="422"/>
      <c r="C120" s="422"/>
      <c r="D120" s="422"/>
      <c r="E120" s="422"/>
      <c r="F120" s="422"/>
      <c r="G120" s="422"/>
      <c r="H120" s="422"/>
      <c r="I120" s="422"/>
      <c r="J120" s="422"/>
      <c r="K120" s="753"/>
    </row>
  </sheetData>
  <mergeCells count="119">
    <mergeCell ref="A114:D114"/>
    <mergeCell ref="A110:A111"/>
    <mergeCell ref="B110:B111"/>
    <mergeCell ref="C110:C111"/>
    <mergeCell ref="D110:D111"/>
    <mergeCell ref="F110:F111"/>
    <mergeCell ref="K110:K111"/>
    <mergeCell ref="A98:A99"/>
    <mergeCell ref="B98:B99"/>
    <mergeCell ref="C98:C99"/>
    <mergeCell ref="D98:D99"/>
    <mergeCell ref="F98:F99"/>
    <mergeCell ref="A101:A102"/>
    <mergeCell ref="B101:B102"/>
    <mergeCell ref="C101:C102"/>
    <mergeCell ref="D101:D102"/>
    <mergeCell ref="F101:F102"/>
    <mergeCell ref="A94:A95"/>
    <mergeCell ref="B94:B95"/>
    <mergeCell ref="C94:C95"/>
    <mergeCell ref="D94:D95"/>
    <mergeCell ref="F94:F95"/>
    <mergeCell ref="A96:A97"/>
    <mergeCell ref="B96:B97"/>
    <mergeCell ref="C96:C97"/>
    <mergeCell ref="D96:D97"/>
    <mergeCell ref="F96:F97"/>
    <mergeCell ref="A89:A90"/>
    <mergeCell ref="B89:B90"/>
    <mergeCell ref="C89:C90"/>
    <mergeCell ref="D89:D90"/>
    <mergeCell ref="F89:F90"/>
    <mergeCell ref="A91:A92"/>
    <mergeCell ref="B91:B92"/>
    <mergeCell ref="C91:C92"/>
    <mergeCell ref="D91:D92"/>
    <mergeCell ref="F91:F92"/>
    <mergeCell ref="A83:A84"/>
    <mergeCell ref="B83:B84"/>
    <mergeCell ref="C83:C84"/>
    <mergeCell ref="D83:D84"/>
    <mergeCell ref="F83:F84"/>
    <mergeCell ref="A87:A88"/>
    <mergeCell ref="B87:B88"/>
    <mergeCell ref="C87:C88"/>
    <mergeCell ref="D87:D88"/>
    <mergeCell ref="F87:F88"/>
    <mergeCell ref="A79:A80"/>
    <mergeCell ref="B79:B80"/>
    <mergeCell ref="C79:C80"/>
    <mergeCell ref="D79:D80"/>
    <mergeCell ref="F79:F80"/>
    <mergeCell ref="A81:A82"/>
    <mergeCell ref="B81:B82"/>
    <mergeCell ref="C81:C82"/>
    <mergeCell ref="D81:D82"/>
    <mergeCell ref="F81:F82"/>
    <mergeCell ref="A72:A73"/>
    <mergeCell ref="B72:B73"/>
    <mergeCell ref="C72:C73"/>
    <mergeCell ref="D72:D73"/>
    <mergeCell ref="F72:F73"/>
    <mergeCell ref="A77:A78"/>
    <mergeCell ref="B77:B78"/>
    <mergeCell ref="C77:C78"/>
    <mergeCell ref="D77:D78"/>
    <mergeCell ref="F77:F78"/>
    <mergeCell ref="A67:A68"/>
    <mergeCell ref="B67:B68"/>
    <mergeCell ref="C67:C68"/>
    <mergeCell ref="D67:D68"/>
    <mergeCell ref="F67:F68"/>
    <mergeCell ref="A69:A70"/>
    <mergeCell ref="B69:B70"/>
    <mergeCell ref="C69:C70"/>
    <mergeCell ref="D69:D70"/>
    <mergeCell ref="F69:F70"/>
    <mergeCell ref="A59:A60"/>
    <mergeCell ref="B59:B60"/>
    <mergeCell ref="C59:C60"/>
    <mergeCell ref="D59:D60"/>
    <mergeCell ref="F59:F60"/>
    <mergeCell ref="A65:A66"/>
    <mergeCell ref="B65:B66"/>
    <mergeCell ref="C65:C66"/>
    <mergeCell ref="D65:D66"/>
    <mergeCell ref="F65:F66"/>
    <mergeCell ref="F53:F54"/>
    <mergeCell ref="A55:A56"/>
    <mergeCell ref="B55:B56"/>
    <mergeCell ref="C55:C56"/>
    <mergeCell ref="D55:D56"/>
    <mergeCell ref="F55:F56"/>
    <mergeCell ref="A35:A36"/>
    <mergeCell ref="B35:B36"/>
    <mergeCell ref="C35:C36"/>
    <mergeCell ref="D35:D36"/>
    <mergeCell ref="A53:A54"/>
    <mergeCell ref="B53:B54"/>
    <mergeCell ref="C53:C54"/>
    <mergeCell ref="D53:D54"/>
    <mergeCell ref="J5:K5"/>
    <mergeCell ref="J7:K7"/>
    <mergeCell ref="J8:K8"/>
    <mergeCell ref="A15:K15"/>
    <mergeCell ref="A16:C16"/>
    <mergeCell ref="D16:K16"/>
    <mergeCell ref="F18:F19"/>
    <mergeCell ref="G18:G19"/>
    <mergeCell ref="H18:H19"/>
    <mergeCell ref="I18:I19"/>
    <mergeCell ref="J18:J19"/>
    <mergeCell ref="K18:K19"/>
    <mergeCell ref="A17:C17"/>
    <mergeCell ref="A18:A19"/>
    <mergeCell ref="B18:B19"/>
    <mergeCell ref="C18:C19"/>
    <mergeCell ref="D18:D19"/>
    <mergeCell ref="E18:E19"/>
  </mergeCells>
  <pageMargins left="1.1811023622047245" right="0.39370078740157483" top="0.78740157480314965" bottom="0.78740157480314965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view="pageBreakPreview" zoomScale="60" zoomScaleNormal="100" workbookViewId="0">
      <selection activeCell="J66" sqref="J66"/>
    </sheetView>
  </sheetViews>
  <sheetFormatPr defaultColWidth="9.28515625" defaultRowHeight="15.75" x14ac:dyDescent="0.25"/>
  <cols>
    <col min="1" max="1" width="12.7109375" style="429" customWidth="1"/>
    <col min="2" max="2" width="13" style="429" customWidth="1"/>
    <col min="3" max="3" width="11.85546875" style="811" customWidth="1"/>
    <col min="4" max="4" width="32.5703125" style="429" customWidth="1"/>
    <col min="5" max="5" width="42.5703125" style="429" customWidth="1"/>
    <col min="6" max="6" width="16.85546875" style="429" customWidth="1"/>
    <col min="7" max="256" width="9.28515625" style="429"/>
    <col min="257" max="257" width="12.7109375" style="429" customWidth="1"/>
    <col min="258" max="258" width="13" style="429" customWidth="1"/>
    <col min="259" max="259" width="11.85546875" style="429" customWidth="1"/>
    <col min="260" max="260" width="26.7109375" style="429" customWidth="1"/>
    <col min="261" max="261" width="36.42578125" style="429" customWidth="1"/>
    <col min="262" max="262" width="13.28515625" style="429" customWidth="1"/>
    <col min="263" max="512" width="9.28515625" style="429"/>
    <col min="513" max="513" width="12.7109375" style="429" customWidth="1"/>
    <col min="514" max="514" width="13" style="429" customWidth="1"/>
    <col min="515" max="515" width="11.85546875" style="429" customWidth="1"/>
    <col min="516" max="516" width="26.7109375" style="429" customWidth="1"/>
    <col min="517" max="517" width="36.42578125" style="429" customWidth="1"/>
    <col min="518" max="518" width="13.28515625" style="429" customWidth="1"/>
    <col min="519" max="768" width="9.28515625" style="429"/>
    <col min="769" max="769" width="12.7109375" style="429" customWidth="1"/>
    <col min="770" max="770" width="13" style="429" customWidth="1"/>
    <col min="771" max="771" width="11.85546875" style="429" customWidth="1"/>
    <col min="772" max="772" width="26.7109375" style="429" customWidth="1"/>
    <col min="773" max="773" width="36.42578125" style="429" customWidth="1"/>
    <col min="774" max="774" width="13.28515625" style="429" customWidth="1"/>
    <col min="775" max="1024" width="9.28515625" style="429"/>
    <col min="1025" max="1025" width="12.7109375" style="429" customWidth="1"/>
    <col min="1026" max="1026" width="13" style="429" customWidth="1"/>
    <col min="1027" max="1027" width="11.85546875" style="429" customWidth="1"/>
    <col min="1028" max="1028" width="26.7109375" style="429" customWidth="1"/>
    <col min="1029" max="1029" width="36.42578125" style="429" customWidth="1"/>
    <col min="1030" max="1030" width="13.28515625" style="429" customWidth="1"/>
    <col min="1031" max="1280" width="9.28515625" style="429"/>
    <col min="1281" max="1281" width="12.7109375" style="429" customWidth="1"/>
    <col min="1282" max="1282" width="13" style="429" customWidth="1"/>
    <col min="1283" max="1283" width="11.85546875" style="429" customWidth="1"/>
    <col min="1284" max="1284" width="26.7109375" style="429" customWidth="1"/>
    <col min="1285" max="1285" width="36.42578125" style="429" customWidth="1"/>
    <col min="1286" max="1286" width="13.28515625" style="429" customWidth="1"/>
    <col min="1287" max="1536" width="9.28515625" style="429"/>
    <col min="1537" max="1537" width="12.7109375" style="429" customWidth="1"/>
    <col min="1538" max="1538" width="13" style="429" customWidth="1"/>
    <col min="1539" max="1539" width="11.85546875" style="429" customWidth="1"/>
    <col min="1540" max="1540" width="26.7109375" style="429" customWidth="1"/>
    <col min="1541" max="1541" width="36.42578125" style="429" customWidth="1"/>
    <col min="1542" max="1542" width="13.28515625" style="429" customWidth="1"/>
    <col min="1543" max="1792" width="9.28515625" style="429"/>
    <col min="1793" max="1793" width="12.7109375" style="429" customWidth="1"/>
    <col min="1794" max="1794" width="13" style="429" customWidth="1"/>
    <col min="1795" max="1795" width="11.85546875" style="429" customWidth="1"/>
    <col min="1796" max="1796" width="26.7109375" style="429" customWidth="1"/>
    <col min="1797" max="1797" width="36.42578125" style="429" customWidth="1"/>
    <col min="1798" max="1798" width="13.28515625" style="429" customWidth="1"/>
    <col min="1799" max="2048" width="9.28515625" style="429"/>
    <col min="2049" max="2049" width="12.7109375" style="429" customWidth="1"/>
    <col min="2050" max="2050" width="13" style="429" customWidth="1"/>
    <col min="2051" max="2051" width="11.85546875" style="429" customWidth="1"/>
    <col min="2052" max="2052" width="26.7109375" style="429" customWidth="1"/>
    <col min="2053" max="2053" width="36.42578125" style="429" customWidth="1"/>
    <col min="2054" max="2054" width="13.28515625" style="429" customWidth="1"/>
    <col min="2055" max="2304" width="9.28515625" style="429"/>
    <col min="2305" max="2305" width="12.7109375" style="429" customWidth="1"/>
    <col min="2306" max="2306" width="13" style="429" customWidth="1"/>
    <col min="2307" max="2307" width="11.85546875" style="429" customWidth="1"/>
    <col min="2308" max="2308" width="26.7109375" style="429" customWidth="1"/>
    <col min="2309" max="2309" width="36.42578125" style="429" customWidth="1"/>
    <col min="2310" max="2310" width="13.28515625" style="429" customWidth="1"/>
    <col min="2311" max="2560" width="9.28515625" style="429"/>
    <col min="2561" max="2561" width="12.7109375" style="429" customWidth="1"/>
    <col min="2562" max="2562" width="13" style="429" customWidth="1"/>
    <col min="2563" max="2563" width="11.85546875" style="429" customWidth="1"/>
    <col min="2564" max="2564" width="26.7109375" style="429" customWidth="1"/>
    <col min="2565" max="2565" width="36.42578125" style="429" customWidth="1"/>
    <col min="2566" max="2566" width="13.28515625" style="429" customWidth="1"/>
    <col min="2567" max="2816" width="9.28515625" style="429"/>
    <col min="2817" max="2817" width="12.7109375" style="429" customWidth="1"/>
    <col min="2818" max="2818" width="13" style="429" customWidth="1"/>
    <col min="2819" max="2819" width="11.85546875" style="429" customWidth="1"/>
    <col min="2820" max="2820" width="26.7109375" style="429" customWidth="1"/>
    <col min="2821" max="2821" width="36.42578125" style="429" customWidth="1"/>
    <col min="2822" max="2822" width="13.28515625" style="429" customWidth="1"/>
    <col min="2823" max="3072" width="9.28515625" style="429"/>
    <col min="3073" max="3073" width="12.7109375" style="429" customWidth="1"/>
    <col min="3074" max="3074" width="13" style="429" customWidth="1"/>
    <col min="3075" max="3075" width="11.85546875" style="429" customWidth="1"/>
    <col min="3076" max="3076" width="26.7109375" style="429" customWidth="1"/>
    <col min="3077" max="3077" width="36.42578125" style="429" customWidth="1"/>
    <col min="3078" max="3078" width="13.28515625" style="429" customWidth="1"/>
    <col min="3079" max="3328" width="9.28515625" style="429"/>
    <col min="3329" max="3329" width="12.7109375" style="429" customWidth="1"/>
    <col min="3330" max="3330" width="13" style="429" customWidth="1"/>
    <col min="3331" max="3331" width="11.85546875" style="429" customWidth="1"/>
    <col min="3332" max="3332" width="26.7109375" style="429" customWidth="1"/>
    <col min="3333" max="3333" width="36.42578125" style="429" customWidth="1"/>
    <col min="3334" max="3334" width="13.28515625" style="429" customWidth="1"/>
    <col min="3335" max="3584" width="9.28515625" style="429"/>
    <col min="3585" max="3585" width="12.7109375" style="429" customWidth="1"/>
    <col min="3586" max="3586" width="13" style="429" customWidth="1"/>
    <col min="3587" max="3587" width="11.85546875" style="429" customWidth="1"/>
    <col min="3588" max="3588" width="26.7109375" style="429" customWidth="1"/>
    <col min="3589" max="3589" width="36.42578125" style="429" customWidth="1"/>
    <col min="3590" max="3590" width="13.28515625" style="429" customWidth="1"/>
    <col min="3591" max="3840" width="9.28515625" style="429"/>
    <col min="3841" max="3841" width="12.7109375" style="429" customWidth="1"/>
    <col min="3842" max="3842" width="13" style="429" customWidth="1"/>
    <col min="3843" max="3843" width="11.85546875" style="429" customWidth="1"/>
    <col min="3844" max="3844" width="26.7109375" style="429" customWidth="1"/>
    <col min="3845" max="3845" width="36.42578125" style="429" customWidth="1"/>
    <col min="3846" max="3846" width="13.28515625" style="429" customWidth="1"/>
    <col min="3847" max="4096" width="9.28515625" style="429"/>
    <col min="4097" max="4097" width="12.7109375" style="429" customWidth="1"/>
    <col min="4098" max="4098" width="13" style="429" customWidth="1"/>
    <col min="4099" max="4099" width="11.85546875" style="429" customWidth="1"/>
    <col min="4100" max="4100" width="26.7109375" style="429" customWidth="1"/>
    <col min="4101" max="4101" width="36.42578125" style="429" customWidth="1"/>
    <col min="4102" max="4102" width="13.28515625" style="429" customWidth="1"/>
    <col min="4103" max="4352" width="9.28515625" style="429"/>
    <col min="4353" max="4353" width="12.7109375" style="429" customWidth="1"/>
    <col min="4354" max="4354" width="13" style="429" customWidth="1"/>
    <col min="4355" max="4355" width="11.85546875" style="429" customWidth="1"/>
    <col min="4356" max="4356" width="26.7109375" style="429" customWidth="1"/>
    <col min="4357" max="4357" width="36.42578125" style="429" customWidth="1"/>
    <col min="4358" max="4358" width="13.28515625" style="429" customWidth="1"/>
    <col min="4359" max="4608" width="9.28515625" style="429"/>
    <col min="4609" max="4609" width="12.7109375" style="429" customWidth="1"/>
    <col min="4610" max="4610" width="13" style="429" customWidth="1"/>
    <col min="4611" max="4611" width="11.85546875" style="429" customWidth="1"/>
    <col min="4612" max="4612" width="26.7109375" style="429" customWidth="1"/>
    <col min="4613" max="4613" width="36.42578125" style="429" customWidth="1"/>
    <col min="4614" max="4614" width="13.28515625" style="429" customWidth="1"/>
    <col min="4615" max="4864" width="9.28515625" style="429"/>
    <col min="4865" max="4865" width="12.7109375" style="429" customWidth="1"/>
    <col min="4866" max="4866" width="13" style="429" customWidth="1"/>
    <col min="4867" max="4867" width="11.85546875" style="429" customWidth="1"/>
    <col min="4868" max="4868" width="26.7109375" style="429" customWidth="1"/>
    <col min="4869" max="4869" width="36.42578125" style="429" customWidth="1"/>
    <col min="4870" max="4870" width="13.28515625" style="429" customWidth="1"/>
    <col min="4871" max="5120" width="9.28515625" style="429"/>
    <col min="5121" max="5121" width="12.7109375" style="429" customWidth="1"/>
    <col min="5122" max="5122" width="13" style="429" customWidth="1"/>
    <col min="5123" max="5123" width="11.85546875" style="429" customWidth="1"/>
    <col min="5124" max="5124" width="26.7109375" style="429" customWidth="1"/>
    <col min="5125" max="5125" width="36.42578125" style="429" customWidth="1"/>
    <col min="5126" max="5126" width="13.28515625" style="429" customWidth="1"/>
    <col min="5127" max="5376" width="9.28515625" style="429"/>
    <col min="5377" max="5377" width="12.7109375" style="429" customWidth="1"/>
    <col min="5378" max="5378" width="13" style="429" customWidth="1"/>
    <col min="5379" max="5379" width="11.85546875" style="429" customWidth="1"/>
    <col min="5380" max="5380" width="26.7109375" style="429" customWidth="1"/>
    <col min="5381" max="5381" width="36.42578125" style="429" customWidth="1"/>
    <col min="5382" max="5382" width="13.28515625" style="429" customWidth="1"/>
    <col min="5383" max="5632" width="9.28515625" style="429"/>
    <col min="5633" max="5633" width="12.7109375" style="429" customWidth="1"/>
    <col min="5634" max="5634" width="13" style="429" customWidth="1"/>
    <col min="5635" max="5635" width="11.85546875" style="429" customWidth="1"/>
    <col min="5636" max="5636" width="26.7109375" style="429" customWidth="1"/>
    <col min="5637" max="5637" width="36.42578125" style="429" customWidth="1"/>
    <col min="5638" max="5638" width="13.28515625" style="429" customWidth="1"/>
    <col min="5639" max="5888" width="9.28515625" style="429"/>
    <col min="5889" max="5889" width="12.7109375" style="429" customWidth="1"/>
    <col min="5890" max="5890" width="13" style="429" customWidth="1"/>
    <col min="5891" max="5891" width="11.85546875" style="429" customWidth="1"/>
    <col min="5892" max="5892" width="26.7109375" style="429" customWidth="1"/>
    <col min="5893" max="5893" width="36.42578125" style="429" customWidth="1"/>
    <col min="5894" max="5894" width="13.28515625" style="429" customWidth="1"/>
    <col min="5895" max="6144" width="9.28515625" style="429"/>
    <col min="6145" max="6145" width="12.7109375" style="429" customWidth="1"/>
    <col min="6146" max="6146" width="13" style="429" customWidth="1"/>
    <col min="6147" max="6147" width="11.85546875" style="429" customWidth="1"/>
    <col min="6148" max="6148" width="26.7109375" style="429" customWidth="1"/>
    <col min="6149" max="6149" width="36.42578125" style="429" customWidth="1"/>
    <col min="6150" max="6150" width="13.28515625" style="429" customWidth="1"/>
    <col min="6151" max="6400" width="9.28515625" style="429"/>
    <col min="6401" max="6401" width="12.7109375" style="429" customWidth="1"/>
    <col min="6402" max="6402" width="13" style="429" customWidth="1"/>
    <col min="6403" max="6403" width="11.85546875" style="429" customWidth="1"/>
    <col min="6404" max="6404" width="26.7109375" style="429" customWidth="1"/>
    <col min="6405" max="6405" width="36.42578125" style="429" customWidth="1"/>
    <col min="6406" max="6406" width="13.28515625" style="429" customWidth="1"/>
    <col min="6407" max="6656" width="9.28515625" style="429"/>
    <col min="6657" max="6657" width="12.7109375" style="429" customWidth="1"/>
    <col min="6658" max="6658" width="13" style="429" customWidth="1"/>
    <col min="6659" max="6659" width="11.85546875" style="429" customWidth="1"/>
    <col min="6660" max="6660" width="26.7109375" style="429" customWidth="1"/>
    <col min="6661" max="6661" width="36.42578125" style="429" customWidth="1"/>
    <col min="6662" max="6662" width="13.28515625" style="429" customWidth="1"/>
    <col min="6663" max="6912" width="9.28515625" style="429"/>
    <col min="6913" max="6913" width="12.7109375" style="429" customWidth="1"/>
    <col min="6914" max="6914" width="13" style="429" customWidth="1"/>
    <col min="6915" max="6915" width="11.85546875" style="429" customWidth="1"/>
    <col min="6916" max="6916" width="26.7109375" style="429" customWidth="1"/>
    <col min="6917" max="6917" width="36.42578125" style="429" customWidth="1"/>
    <col min="6918" max="6918" width="13.28515625" style="429" customWidth="1"/>
    <col min="6919" max="7168" width="9.28515625" style="429"/>
    <col min="7169" max="7169" width="12.7109375" style="429" customWidth="1"/>
    <col min="7170" max="7170" width="13" style="429" customWidth="1"/>
    <col min="7171" max="7171" width="11.85546875" style="429" customWidth="1"/>
    <col min="7172" max="7172" width="26.7109375" style="429" customWidth="1"/>
    <col min="7173" max="7173" width="36.42578125" style="429" customWidth="1"/>
    <col min="7174" max="7174" width="13.28515625" style="429" customWidth="1"/>
    <col min="7175" max="7424" width="9.28515625" style="429"/>
    <col min="7425" max="7425" width="12.7109375" style="429" customWidth="1"/>
    <col min="7426" max="7426" width="13" style="429" customWidth="1"/>
    <col min="7427" max="7427" width="11.85546875" style="429" customWidth="1"/>
    <col min="7428" max="7428" width="26.7109375" style="429" customWidth="1"/>
    <col min="7429" max="7429" width="36.42578125" style="429" customWidth="1"/>
    <col min="7430" max="7430" width="13.28515625" style="429" customWidth="1"/>
    <col min="7431" max="7680" width="9.28515625" style="429"/>
    <col min="7681" max="7681" width="12.7109375" style="429" customWidth="1"/>
    <col min="7682" max="7682" width="13" style="429" customWidth="1"/>
    <col min="7683" max="7683" width="11.85546875" style="429" customWidth="1"/>
    <col min="7684" max="7684" width="26.7109375" style="429" customWidth="1"/>
    <col min="7685" max="7685" width="36.42578125" style="429" customWidth="1"/>
    <col min="7686" max="7686" width="13.28515625" style="429" customWidth="1"/>
    <col min="7687" max="7936" width="9.28515625" style="429"/>
    <col min="7937" max="7937" width="12.7109375" style="429" customWidth="1"/>
    <col min="7938" max="7938" width="13" style="429" customWidth="1"/>
    <col min="7939" max="7939" width="11.85546875" style="429" customWidth="1"/>
    <col min="7940" max="7940" width="26.7109375" style="429" customWidth="1"/>
    <col min="7941" max="7941" width="36.42578125" style="429" customWidth="1"/>
    <col min="7942" max="7942" width="13.28515625" style="429" customWidth="1"/>
    <col min="7943" max="8192" width="9.28515625" style="429"/>
    <col min="8193" max="8193" width="12.7109375" style="429" customWidth="1"/>
    <col min="8194" max="8194" width="13" style="429" customWidth="1"/>
    <col min="8195" max="8195" width="11.85546875" style="429" customWidth="1"/>
    <col min="8196" max="8196" width="26.7109375" style="429" customWidth="1"/>
    <col min="8197" max="8197" width="36.42578125" style="429" customWidth="1"/>
    <col min="8198" max="8198" width="13.28515625" style="429" customWidth="1"/>
    <col min="8199" max="8448" width="9.28515625" style="429"/>
    <col min="8449" max="8449" width="12.7109375" style="429" customWidth="1"/>
    <col min="8450" max="8450" width="13" style="429" customWidth="1"/>
    <col min="8451" max="8451" width="11.85546875" style="429" customWidth="1"/>
    <col min="8452" max="8452" width="26.7109375" style="429" customWidth="1"/>
    <col min="8453" max="8453" width="36.42578125" style="429" customWidth="1"/>
    <col min="8454" max="8454" width="13.28515625" style="429" customWidth="1"/>
    <col min="8455" max="8704" width="9.28515625" style="429"/>
    <col min="8705" max="8705" width="12.7109375" style="429" customWidth="1"/>
    <col min="8706" max="8706" width="13" style="429" customWidth="1"/>
    <col min="8707" max="8707" width="11.85546875" style="429" customWidth="1"/>
    <col min="8708" max="8708" width="26.7109375" style="429" customWidth="1"/>
    <col min="8709" max="8709" width="36.42578125" style="429" customWidth="1"/>
    <col min="8710" max="8710" width="13.28515625" style="429" customWidth="1"/>
    <col min="8711" max="8960" width="9.28515625" style="429"/>
    <col min="8961" max="8961" width="12.7109375" style="429" customWidth="1"/>
    <col min="8962" max="8962" width="13" style="429" customWidth="1"/>
    <col min="8963" max="8963" width="11.85546875" style="429" customWidth="1"/>
    <col min="8964" max="8964" width="26.7109375" style="429" customWidth="1"/>
    <col min="8965" max="8965" width="36.42578125" style="429" customWidth="1"/>
    <col min="8966" max="8966" width="13.28515625" style="429" customWidth="1"/>
    <col min="8967" max="9216" width="9.28515625" style="429"/>
    <col min="9217" max="9217" width="12.7109375" style="429" customWidth="1"/>
    <col min="9218" max="9218" width="13" style="429" customWidth="1"/>
    <col min="9219" max="9219" width="11.85546875" style="429" customWidth="1"/>
    <col min="9220" max="9220" width="26.7109375" style="429" customWidth="1"/>
    <col min="9221" max="9221" width="36.42578125" style="429" customWidth="1"/>
    <col min="9222" max="9222" width="13.28515625" style="429" customWidth="1"/>
    <col min="9223" max="9472" width="9.28515625" style="429"/>
    <col min="9473" max="9473" width="12.7109375" style="429" customWidth="1"/>
    <col min="9474" max="9474" width="13" style="429" customWidth="1"/>
    <col min="9475" max="9475" width="11.85546875" style="429" customWidth="1"/>
    <col min="9476" max="9476" width="26.7109375" style="429" customWidth="1"/>
    <col min="9477" max="9477" width="36.42578125" style="429" customWidth="1"/>
    <col min="9478" max="9478" width="13.28515625" style="429" customWidth="1"/>
    <col min="9479" max="9728" width="9.28515625" style="429"/>
    <col min="9729" max="9729" width="12.7109375" style="429" customWidth="1"/>
    <col min="9730" max="9730" width="13" style="429" customWidth="1"/>
    <col min="9731" max="9731" width="11.85546875" style="429" customWidth="1"/>
    <col min="9732" max="9732" width="26.7109375" style="429" customWidth="1"/>
    <col min="9733" max="9733" width="36.42578125" style="429" customWidth="1"/>
    <col min="9734" max="9734" width="13.28515625" style="429" customWidth="1"/>
    <col min="9735" max="9984" width="9.28515625" style="429"/>
    <col min="9985" max="9985" width="12.7109375" style="429" customWidth="1"/>
    <col min="9986" max="9986" width="13" style="429" customWidth="1"/>
    <col min="9987" max="9987" width="11.85546875" style="429" customWidth="1"/>
    <col min="9988" max="9988" width="26.7109375" style="429" customWidth="1"/>
    <col min="9989" max="9989" width="36.42578125" style="429" customWidth="1"/>
    <col min="9990" max="9990" width="13.28515625" style="429" customWidth="1"/>
    <col min="9991" max="10240" width="9.28515625" style="429"/>
    <col min="10241" max="10241" width="12.7109375" style="429" customWidth="1"/>
    <col min="10242" max="10242" width="13" style="429" customWidth="1"/>
    <col min="10243" max="10243" width="11.85546875" style="429" customWidth="1"/>
    <col min="10244" max="10244" width="26.7109375" style="429" customWidth="1"/>
    <col min="10245" max="10245" width="36.42578125" style="429" customWidth="1"/>
    <col min="10246" max="10246" width="13.28515625" style="429" customWidth="1"/>
    <col min="10247" max="10496" width="9.28515625" style="429"/>
    <col min="10497" max="10497" width="12.7109375" style="429" customWidth="1"/>
    <col min="10498" max="10498" width="13" style="429" customWidth="1"/>
    <col min="10499" max="10499" width="11.85546875" style="429" customWidth="1"/>
    <col min="10500" max="10500" width="26.7109375" style="429" customWidth="1"/>
    <col min="10501" max="10501" width="36.42578125" style="429" customWidth="1"/>
    <col min="10502" max="10502" width="13.28515625" style="429" customWidth="1"/>
    <col min="10503" max="10752" width="9.28515625" style="429"/>
    <col min="10753" max="10753" width="12.7109375" style="429" customWidth="1"/>
    <col min="10754" max="10754" width="13" style="429" customWidth="1"/>
    <col min="10755" max="10755" width="11.85546875" style="429" customWidth="1"/>
    <col min="10756" max="10756" width="26.7109375" style="429" customWidth="1"/>
    <col min="10757" max="10757" width="36.42578125" style="429" customWidth="1"/>
    <col min="10758" max="10758" width="13.28515625" style="429" customWidth="1"/>
    <col min="10759" max="11008" width="9.28515625" style="429"/>
    <col min="11009" max="11009" width="12.7109375" style="429" customWidth="1"/>
    <col min="11010" max="11010" width="13" style="429" customWidth="1"/>
    <col min="11011" max="11011" width="11.85546875" style="429" customWidth="1"/>
    <col min="11012" max="11012" width="26.7109375" style="429" customWidth="1"/>
    <col min="11013" max="11013" width="36.42578125" style="429" customWidth="1"/>
    <col min="11014" max="11014" width="13.28515625" style="429" customWidth="1"/>
    <col min="11015" max="11264" width="9.28515625" style="429"/>
    <col min="11265" max="11265" width="12.7109375" style="429" customWidth="1"/>
    <col min="11266" max="11266" width="13" style="429" customWidth="1"/>
    <col min="11267" max="11267" width="11.85546875" style="429" customWidth="1"/>
    <col min="11268" max="11268" width="26.7109375" style="429" customWidth="1"/>
    <col min="11269" max="11269" width="36.42578125" style="429" customWidth="1"/>
    <col min="11270" max="11270" width="13.28515625" style="429" customWidth="1"/>
    <col min="11271" max="11520" width="9.28515625" style="429"/>
    <col min="11521" max="11521" width="12.7109375" style="429" customWidth="1"/>
    <col min="11522" max="11522" width="13" style="429" customWidth="1"/>
    <col min="11523" max="11523" width="11.85546875" style="429" customWidth="1"/>
    <col min="11524" max="11524" width="26.7109375" style="429" customWidth="1"/>
    <col min="11525" max="11525" width="36.42578125" style="429" customWidth="1"/>
    <col min="11526" max="11526" width="13.28515625" style="429" customWidth="1"/>
    <col min="11527" max="11776" width="9.28515625" style="429"/>
    <col min="11777" max="11777" width="12.7109375" style="429" customWidth="1"/>
    <col min="11778" max="11778" width="13" style="429" customWidth="1"/>
    <col min="11779" max="11779" width="11.85546875" style="429" customWidth="1"/>
    <col min="11780" max="11780" width="26.7109375" style="429" customWidth="1"/>
    <col min="11781" max="11781" width="36.42578125" style="429" customWidth="1"/>
    <col min="11782" max="11782" width="13.28515625" style="429" customWidth="1"/>
    <col min="11783" max="12032" width="9.28515625" style="429"/>
    <col min="12033" max="12033" width="12.7109375" style="429" customWidth="1"/>
    <col min="12034" max="12034" width="13" style="429" customWidth="1"/>
    <col min="12035" max="12035" width="11.85546875" style="429" customWidth="1"/>
    <col min="12036" max="12036" width="26.7109375" style="429" customWidth="1"/>
    <col min="12037" max="12037" width="36.42578125" style="429" customWidth="1"/>
    <col min="12038" max="12038" width="13.28515625" style="429" customWidth="1"/>
    <col min="12039" max="12288" width="9.28515625" style="429"/>
    <col min="12289" max="12289" width="12.7109375" style="429" customWidth="1"/>
    <col min="12290" max="12290" width="13" style="429" customWidth="1"/>
    <col min="12291" max="12291" width="11.85546875" style="429" customWidth="1"/>
    <col min="12292" max="12292" width="26.7109375" style="429" customWidth="1"/>
    <col min="12293" max="12293" width="36.42578125" style="429" customWidth="1"/>
    <col min="12294" max="12294" width="13.28515625" style="429" customWidth="1"/>
    <col min="12295" max="12544" width="9.28515625" style="429"/>
    <col min="12545" max="12545" width="12.7109375" style="429" customWidth="1"/>
    <col min="12546" max="12546" width="13" style="429" customWidth="1"/>
    <col min="12547" max="12547" width="11.85546875" style="429" customWidth="1"/>
    <col min="12548" max="12548" width="26.7109375" style="429" customWidth="1"/>
    <col min="12549" max="12549" width="36.42578125" style="429" customWidth="1"/>
    <col min="12550" max="12550" width="13.28515625" style="429" customWidth="1"/>
    <col min="12551" max="12800" width="9.28515625" style="429"/>
    <col min="12801" max="12801" width="12.7109375" style="429" customWidth="1"/>
    <col min="12802" max="12802" width="13" style="429" customWidth="1"/>
    <col min="12803" max="12803" width="11.85546875" style="429" customWidth="1"/>
    <col min="12804" max="12804" width="26.7109375" style="429" customWidth="1"/>
    <col min="12805" max="12805" width="36.42578125" style="429" customWidth="1"/>
    <col min="12806" max="12806" width="13.28515625" style="429" customWidth="1"/>
    <col min="12807" max="13056" width="9.28515625" style="429"/>
    <col min="13057" max="13057" width="12.7109375" style="429" customWidth="1"/>
    <col min="13058" max="13058" width="13" style="429" customWidth="1"/>
    <col min="13059" max="13059" width="11.85546875" style="429" customWidth="1"/>
    <col min="13060" max="13060" width="26.7109375" style="429" customWidth="1"/>
    <col min="13061" max="13061" width="36.42578125" style="429" customWidth="1"/>
    <col min="13062" max="13062" width="13.28515625" style="429" customWidth="1"/>
    <col min="13063" max="13312" width="9.28515625" style="429"/>
    <col min="13313" max="13313" width="12.7109375" style="429" customWidth="1"/>
    <col min="13314" max="13314" width="13" style="429" customWidth="1"/>
    <col min="13315" max="13315" width="11.85546875" style="429" customWidth="1"/>
    <col min="13316" max="13316" width="26.7109375" style="429" customWidth="1"/>
    <col min="13317" max="13317" width="36.42578125" style="429" customWidth="1"/>
    <col min="13318" max="13318" width="13.28515625" style="429" customWidth="1"/>
    <col min="13319" max="13568" width="9.28515625" style="429"/>
    <col min="13569" max="13569" width="12.7109375" style="429" customWidth="1"/>
    <col min="13570" max="13570" width="13" style="429" customWidth="1"/>
    <col min="13571" max="13571" width="11.85546875" style="429" customWidth="1"/>
    <col min="13572" max="13572" width="26.7109375" style="429" customWidth="1"/>
    <col min="13573" max="13573" width="36.42578125" style="429" customWidth="1"/>
    <col min="13574" max="13574" width="13.28515625" style="429" customWidth="1"/>
    <col min="13575" max="13824" width="9.28515625" style="429"/>
    <col min="13825" max="13825" width="12.7109375" style="429" customWidth="1"/>
    <col min="13826" max="13826" width="13" style="429" customWidth="1"/>
    <col min="13827" max="13827" width="11.85546875" style="429" customWidth="1"/>
    <col min="13828" max="13828" width="26.7109375" style="429" customWidth="1"/>
    <col min="13829" max="13829" width="36.42578125" style="429" customWidth="1"/>
    <col min="13830" max="13830" width="13.28515625" style="429" customWidth="1"/>
    <col min="13831" max="14080" width="9.28515625" style="429"/>
    <col min="14081" max="14081" width="12.7109375" style="429" customWidth="1"/>
    <col min="14082" max="14082" width="13" style="429" customWidth="1"/>
    <col min="14083" max="14083" width="11.85546875" style="429" customWidth="1"/>
    <col min="14084" max="14084" width="26.7109375" style="429" customWidth="1"/>
    <col min="14085" max="14085" width="36.42578125" style="429" customWidth="1"/>
    <col min="14086" max="14086" width="13.28515625" style="429" customWidth="1"/>
    <col min="14087" max="14336" width="9.28515625" style="429"/>
    <col min="14337" max="14337" width="12.7109375" style="429" customWidth="1"/>
    <col min="14338" max="14338" width="13" style="429" customWidth="1"/>
    <col min="14339" max="14339" width="11.85546875" style="429" customWidth="1"/>
    <col min="14340" max="14340" width="26.7109375" style="429" customWidth="1"/>
    <col min="14341" max="14341" width="36.42578125" style="429" customWidth="1"/>
    <col min="14342" max="14342" width="13.28515625" style="429" customWidth="1"/>
    <col min="14343" max="14592" width="9.28515625" style="429"/>
    <col min="14593" max="14593" width="12.7109375" style="429" customWidth="1"/>
    <col min="14594" max="14594" width="13" style="429" customWidth="1"/>
    <col min="14595" max="14595" width="11.85546875" style="429" customWidth="1"/>
    <col min="14596" max="14596" width="26.7109375" style="429" customWidth="1"/>
    <col min="14597" max="14597" width="36.42578125" style="429" customWidth="1"/>
    <col min="14598" max="14598" width="13.28515625" style="429" customWidth="1"/>
    <col min="14599" max="14848" width="9.28515625" style="429"/>
    <col min="14849" max="14849" width="12.7109375" style="429" customWidth="1"/>
    <col min="14850" max="14850" width="13" style="429" customWidth="1"/>
    <col min="14851" max="14851" width="11.85546875" style="429" customWidth="1"/>
    <col min="14852" max="14852" width="26.7109375" style="429" customWidth="1"/>
    <col min="14853" max="14853" width="36.42578125" style="429" customWidth="1"/>
    <col min="14854" max="14854" width="13.28515625" style="429" customWidth="1"/>
    <col min="14855" max="15104" width="9.28515625" style="429"/>
    <col min="15105" max="15105" width="12.7109375" style="429" customWidth="1"/>
    <col min="15106" max="15106" width="13" style="429" customWidth="1"/>
    <col min="15107" max="15107" width="11.85546875" style="429" customWidth="1"/>
    <col min="15108" max="15108" width="26.7109375" style="429" customWidth="1"/>
    <col min="15109" max="15109" width="36.42578125" style="429" customWidth="1"/>
    <col min="15110" max="15110" width="13.28515625" style="429" customWidth="1"/>
    <col min="15111" max="15360" width="9.28515625" style="429"/>
    <col min="15361" max="15361" width="12.7109375" style="429" customWidth="1"/>
    <col min="15362" max="15362" width="13" style="429" customWidth="1"/>
    <col min="15363" max="15363" width="11.85546875" style="429" customWidth="1"/>
    <col min="15364" max="15364" width="26.7109375" style="429" customWidth="1"/>
    <col min="15365" max="15365" width="36.42578125" style="429" customWidth="1"/>
    <col min="15366" max="15366" width="13.28515625" style="429" customWidth="1"/>
    <col min="15367" max="15616" width="9.28515625" style="429"/>
    <col min="15617" max="15617" width="12.7109375" style="429" customWidth="1"/>
    <col min="15618" max="15618" width="13" style="429" customWidth="1"/>
    <col min="15619" max="15619" width="11.85546875" style="429" customWidth="1"/>
    <col min="15620" max="15620" width="26.7109375" style="429" customWidth="1"/>
    <col min="15621" max="15621" width="36.42578125" style="429" customWidth="1"/>
    <col min="15622" max="15622" width="13.28515625" style="429" customWidth="1"/>
    <col min="15623" max="15872" width="9.28515625" style="429"/>
    <col min="15873" max="15873" width="12.7109375" style="429" customWidth="1"/>
    <col min="15874" max="15874" width="13" style="429" customWidth="1"/>
    <col min="15875" max="15875" width="11.85546875" style="429" customWidth="1"/>
    <col min="15876" max="15876" width="26.7109375" style="429" customWidth="1"/>
    <col min="15877" max="15877" width="36.42578125" style="429" customWidth="1"/>
    <col min="15878" max="15878" width="13.28515625" style="429" customWidth="1"/>
    <col min="15879" max="16128" width="9.28515625" style="429"/>
    <col min="16129" max="16129" width="12.7109375" style="429" customWidth="1"/>
    <col min="16130" max="16130" width="13" style="429" customWidth="1"/>
    <col min="16131" max="16131" width="11.85546875" style="429" customWidth="1"/>
    <col min="16132" max="16132" width="26.7109375" style="429" customWidth="1"/>
    <col min="16133" max="16133" width="36.42578125" style="429" customWidth="1"/>
    <col min="16134" max="16134" width="13.28515625" style="429" customWidth="1"/>
    <col min="16135" max="16384" width="9.28515625" style="429"/>
  </cols>
  <sheetData>
    <row r="1" spans="1:6" x14ac:dyDescent="0.25">
      <c r="E1" s="879" t="s">
        <v>631</v>
      </c>
      <c r="F1" s="331"/>
    </row>
    <row r="2" spans="1:6" x14ac:dyDescent="0.25">
      <c r="E2" s="879" t="s">
        <v>8</v>
      </c>
      <c r="F2" s="331"/>
    </row>
    <row r="3" spans="1:6" x14ac:dyDescent="0.25">
      <c r="E3" s="6" t="s">
        <v>681</v>
      </c>
      <c r="F3" s="428"/>
    </row>
    <row r="4" spans="1:6" x14ac:dyDescent="0.25">
      <c r="E4" s="6" t="s">
        <v>682</v>
      </c>
      <c r="F4" s="331"/>
    </row>
    <row r="5" spans="1:6" x14ac:dyDescent="0.25">
      <c r="E5" s="901" t="s">
        <v>547</v>
      </c>
      <c r="F5" s="901"/>
    </row>
    <row r="8" spans="1:6" x14ac:dyDescent="0.25">
      <c r="E8" s="812" t="s">
        <v>273</v>
      </c>
    </row>
    <row r="9" spans="1:6" x14ac:dyDescent="0.25">
      <c r="E9" s="813" t="s">
        <v>198</v>
      </c>
    </row>
    <row r="10" spans="1:6" x14ac:dyDescent="0.25">
      <c r="E10" s="5" t="s">
        <v>309</v>
      </c>
    </row>
    <row r="11" spans="1:6" x14ac:dyDescent="0.25">
      <c r="E11" s="5" t="s">
        <v>205</v>
      </c>
    </row>
    <row r="12" spans="1:6" x14ac:dyDescent="0.25">
      <c r="E12" s="431" t="s">
        <v>651</v>
      </c>
    </row>
    <row r="13" spans="1:6" x14ac:dyDescent="0.25">
      <c r="E13" s="433" t="s">
        <v>225</v>
      </c>
    </row>
    <row r="14" spans="1:6" x14ac:dyDescent="0.25">
      <c r="E14" s="814" t="s">
        <v>665</v>
      </c>
    </row>
    <row r="16" spans="1:6" s="815" customFormat="1" ht="20.25" x14ac:dyDescent="0.3">
      <c r="A16" s="1000" t="s">
        <v>652</v>
      </c>
      <c r="B16" s="1000"/>
      <c r="C16" s="1000"/>
      <c r="D16" s="1000"/>
      <c r="E16" s="1000"/>
      <c r="F16" s="1000"/>
    </row>
    <row r="17" spans="1:6" s="815" customFormat="1" ht="18.75" x14ac:dyDescent="0.3">
      <c r="A17" s="1001">
        <v>15591000000</v>
      </c>
      <c r="B17" s="1001"/>
      <c r="C17" s="1001"/>
      <c r="D17" s="436"/>
      <c r="E17" s="436"/>
      <c r="F17" s="436"/>
    </row>
    <row r="18" spans="1:6" s="815" customFormat="1" ht="19.5" thickBot="1" x14ac:dyDescent="0.35">
      <c r="A18" s="1011" t="s">
        <v>0</v>
      </c>
      <c r="B18" s="1011"/>
      <c r="C18" s="1011"/>
      <c r="D18" s="436"/>
      <c r="E18" s="436"/>
      <c r="F18" s="816" t="s">
        <v>1</v>
      </c>
    </row>
    <row r="19" spans="1:6" x14ac:dyDescent="0.25">
      <c r="A19" s="1012" t="s">
        <v>11</v>
      </c>
      <c r="B19" s="1093" t="s">
        <v>12</v>
      </c>
      <c r="C19" s="1005" t="s">
        <v>552</v>
      </c>
      <c r="D19" s="1003" t="s">
        <v>553</v>
      </c>
      <c r="E19" s="1005" t="s">
        <v>653</v>
      </c>
      <c r="F19" s="1009" t="s">
        <v>654</v>
      </c>
    </row>
    <row r="20" spans="1:6" ht="16.5" thickBot="1" x14ac:dyDescent="0.3">
      <c r="A20" s="1013"/>
      <c r="B20" s="1094"/>
      <c r="C20" s="1006"/>
      <c r="D20" s="1004"/>
      <c r="E20" s="1006"/>
      <c r="F20" s="1010"/>
    </row>
    <row r="21" spans="1:6" s="817" customFormat="1" ht="16.5" thickBot="1" x14ac:dyDescent="0.3">
      <c r="A21" s="881" t="s">
        <v>561</v>
      </c>
      <c r="B21" s="882" t="s">
        <v>562</v>
      </c>
      <c r="C21" s="880" t="s">
        <v>563</v>
      </c>
      <c r="D21" s="880" t="s">
        <v>625</v>
      </c>
      <c r="E21" s="880" t="s">
        <v>564</v>
      </c>
      <c r="F21" s="852" t="s">
        <v>565</v>
      </c>
    </row>
    <row r="22" spans="1:6" s="817" customFormat="1" ht="16.5" thickBot="1" x14ac:dyDescent="0.3">
      <c r="A22" s="854" t="s">
        <v>43</v>
      </c>
      <c r="B22" s="440"/>
      <c r="C22" s="440"/>
      <c r="D22" s="1085" t="s">
        <v>44</v>
      </c>
      <c r="E22" s="1086"/>
      <c r="F22" s="821">
        <f>F23</f>
        <v>14175</v>
      </c>
    </row>
    <row r="23" spans="1:6" s="817" customFormat="1" x14ac:dyDescent="0.25">
      <c r="A23" s="855" t="s">
        <v>45</v>
      </c>
      <c r="B23" s="853"/>
      <c r="C23" s="853"/>
      <c r="D23" s="1087" t="s">
        <v>44</v>
      </c>
      <c r="E23" s="1088"/>
      <c r="F23" s="860">
        <f>F24</f>
        <v>14175</v>
      </c>
    </row>
    <row r="24" spans="1:6" s="817" customFormat="1" ht="63" x14ac:dyDescent="0.25">
      <c r="A24" s="1089" t="s">
        <v>661</v>
      </c>
      <c r="B24" s="1091" t="s">
        <v>143</v>
      </c>
      <c r="C24" s="1091" t="s">
        <v>144</v>
      </c>
      <c r="D24" s="1091" t="s">
        <v>145</v>
      </c>
      <c r="E24" s="857" t="s">
        <v>662</v>
      </c>
      <c r="F24" s="832">
        <v>14175</v>
      </c>
    </row>
    <row r="25" spans="1:6" s="817" customFormat="1" ht="16.5" thickBot="1" x14ac:dyDescent="0.3">
      <c r="A25" s="1090"/>
      <c r="B25" s="1092"/>
      <c r="C25" s="1092"/>
      <c r="D25" s="1092"/>
      <c r="E25" s="856" t="s">
        <v>423</v>
      </c>
      <c r="F25" s="861">
        <v>14175</v>
      </c>
    </row>
    <row r="26" spans="1:6" s="822" customFormat="1" ht="33" customHeight="1" thickBot="1" x14ac:dyDescent="0.35">
      <c r="A26" s="818">
        <v>1200000</v>
      </c>
      <c r="B26" s="819"/>
      <c r="C26" s="820"/>
      <c r="D26" s="1071" t="s">
        <v>655</v>
      </c>
      <c r="E26" s="1071"/>
      <c r="F26" s="821">
        <f>F27</f>
        <v>474800</v>
      </c>
    </row>
    <row r="27" spans="1:6" s="827" customFormat="1" ht="36" customHeight="1" thickBot="1" x14ac:dyDescent="0.35">
      <c r="A27" s="823">
        <v>1210000</v>
      </c>
      <c r="B27" s="824"/>
      <c r="C27" s="825"/>
      <c r="D27" s="1072" t="s">
        <v>655</v>
      </c>
      <c r="E27" s="1072"/>
      <c r="F27" s="826">
        <f>F28+F31+F33+F35+F37</f>
        <v>474800</v>
      </c>
    </row>
    <row r="28" spans="1:6" s="815" customFormat="1" ht="31.5" x14ac:dyDescent="0.3">
      <c r="A28" s="1073" t="s">
        <v>142</v>
      </c>
      <c r="B28" s="1076">
        <v>8340</v>
      </c>
      <c r="C28" s="1079" t="s">
        <v>144</v>
      </c>
      <c r="D28" s="1082" t="s">
        <v>145</v>
      </c>
      <c r="E28" s="828" t="s">
        <v>656</v>
      </c>
      <c r="F28" s="829">
        <f>F29+F30</f>
        <v>349275</v>
      </c>
    </row>
    <row r="29" spans="1:6" s="827" customFormat="1" ht="18.75" x14ac:dyDescent="0.3">
      <c r="A29" s="1074"/>
      <c r="B29" s="1077"/>
      <c r="C29" s="1080"/>
      <c r="D29" s="1083"/>
      <c r="E29" s="830" t="s">
        <v>423</v>
      </c>
      <c r="F29" s="831">
        <v>159275</v>
      </c>
    </row>
    <row r="30" spans="1:6" s="888" customFormat="1" ht="18.75" x14ac:dyDescent="0.3">
      <c r="A30" s="1074"/>
      <c r="B30" s="1077"/>
      <c r="C30" s="1080"/>
      <c r="D30" s="1083"/>
      <c r="E30" s="886" t="s">
        <v>425</v>
      </c>
      <c r="F30" s="887">
        <v>190000</v>
      </c>
    </row>
    <row r="31" spans="1:6" s="827" customFormat="1" ht="47.25" x14ac:dyDescent="0.3">
      <c r="A31" s="1074"/>
      <c r="B31" s="1077"/>
      <c r="C31" s="1080"/>
      <c r="D31" s="1083"/>
      <c r="E31" s="228" t="s">
        <v>657</v>
      </c>
      <c r="F31" s="832">
        <f>F32</f>
        <v>10500</v>
      </c>
    </row>
    <row r="32" spans="1:6" s="827" customFormat="1" ht="18.75" x14ac:dyDescent="0.3">
      <c r="A32" s="1074"/>
      <c r="B32" s="1077"/>
      <c r="C32" s="1080"/>
      <c r="D32" s="1083"/>
      <c r="E32" s="830" t="s">
        <v>423</v>
      </c>
      <c r="F32" s="831">
        <v>10500</v>
      </c>
    </row>
    <row r="33" spans="1:6" s="815" customFormat="1" ht="47.25" x14ac:dyDescent="0.3">
      <c r="A33" s="1074"/>
      <c r="B33" s="1077"/>
      <c r="C33" s="1080"/>
      <c r="D33" s="1083"/>
      <c r="E33" s="228" t="s">
        <v>658</v>
      </c>
      <c r="F33" s="832">
        <f>F34</f>
        <v>61000</v>
      </c>
    </row>
    <row r="34" spans="1:6" s="815" customFormat="1" ht="18.75" x14ac:dyDescent="0.3">
      <c r="A34" s="1074"/>
      <c r="B34" s="1077"/>
      <c r="C34" s="1080"/>
      <c r="D34" s="1083"/>
      <c r="E34" s="830" t="s">
        <v>423</v>
      </c>
      <c r="F34" s="833">
        <v>61000</v>
      </c>
    </row>
    <row r="35" spans="1:6" s="815" customFormat="1" ht="31.5" x14ac:dyDescent="0.3">
      <c r="A35" s="1074"/>
      <c r="B35" s="1077"/>
      <c r="C35" s="1080"/>
      <c r="D35" s="1083"/>
      <c r="E35" s="228" t="s">
        <v>659</v>
      </c>
      <c r="F35" s="832">
        <f>F36</f>
        <v>16685</v>
      </c>
    </row>
    <row r="36" spans="1:6" s="815" customFormat="1" ht="18.75" x14ac:dyDescent="0.3">
      <c r="A36" s="1074"/>
      <c r="B36" s="1077"/>
      <c r="C36" s="1080"/>
      <c r="D36" s="1083"/>
      <c r="E36" s="830" t="s">
        <v>423</v>
      </c>
      <c r="F36" s="831">
        <v>16685</v>
      </c>
    </row>
    <row r="37" spans="1:6" s="815" customFormat="1" ht="18.75" x14ac:dyDescent="0.3">
      <c r="A37" s="1074"/>
      <c r="B37" s="1077"/>
      <c r="C37" s="1080"/>
      <c r="D37" s="1083"/>
      <c r="E37" s="228" t="s">
        <v>660</v>
      </c>
      <c r="F37" s="832">
        <f>F38</f>
        <v>37340</v>
      </c>
    </row>
    <row r="38" spans="1:6" s="815" customFormat="1" ht="19.5" thickBot="1" x14ac:dyDescent="0.35">
      <c r="A38" s="1075"/>
      <c r="B38" s="1078"/>
      <c r="C38" s="1081"/>
      <c r="D38" s="1084"/>
      <c r="E38" s="834" t="s">
        <v>423</v>
      </c>
      <c r="F38" s="835">
        <f>20500+16840</f>
        <v>37340</v>
      </c>
    </row>
    <row r="39" spans="1:6" s="839" customFormat="1" ht="19.5" thickBot="1" x14ac:dyDescent="0.25">
      <c r="A39" s="818" t="s">
        <v>199</v>
      </c>
      <c r="B39" s="819" t="s">
        <v>199</v>
      </c>
      <c r="C39" s="820" t="s">
        <v>199</v>
      </c>
      <c r="D39" s="836" t="s">
        <v>152</v>
      </c>
      <c r="E39" s="837" t="s">
        <v>199</v>
      </c>
      <c r="F39" s="838">
        <f>F26+F22</f>
        <v>488975</v>
      </c>
    </row>
    <row r="40" spans="1:6" s="839" customFormat="1" ht="18.75" x14ac:dyDescent="0.2">
      <c r="A40" s="878"/>
      <c r="B40" s="840"/>
      <c r="C40" s="841"/>
      <c r="D40" s="842"/>
      <c r="E40" s="843"/>
      <c r="F40" s="844"/>
    </row>
    <row r="41" spans="1:6" s="815" customFormat="1" ht="18.75" x14ac:dyDescent="0.3">
      <c r="B41" s="845"/>
      <c r="C41" s="846"/>
      <c r="D41" s="847"/>
      <c r="E41" s="848"/>
      <c r="F41" s="849"/>
    </row>
    <row r="42" spans="1:6" s="822" customFormat="1" ht="18.75" x14ac:dyDescent="0.3">
      <c r="A42" s="106" t="s">
        <v>683</v>
      </c>
      <c r="B42" s="106"/>
      <c r="C42" s="850"/>
      <c r="D42" s="851"/>
      <c r="E42" s="1070" t="s">
        <v>684</v>
      </c>
      <c r="F42" s="1070"/>
    </row>
  </sheetData>
  <mergeCells count="23">
    <mergeCell ref="E5:F5"/>
    <mergeCell ref="A16:F16"/>
    <mergeCell ref="A17:C17"/>
    <mergeCell ref="A18:C18"/>
    <mergeCell ref="A19:A20"/>
    <mergeCell ref="B19:B20"/>
    <mergeCell ref="C19:C20"/>
    <mergeCell ref="D19:D20"/>
    <mergeCell ref="E19:E20"/>
    <mergeCell ref="F19:F20"/>
    <mergeCell ref="D22:E22"/>
    <mergeCell ref="D23:E23"/>
    <mergeCell ref="A24:A25"/>
    <mergeCell ref="B24:B25"/>
    <mergeCell ref="C24:C25"/>
    <mergeCell ref="D24:D25"/>
    <mergeCell ref="E42:F42"/>
    <mergeCell ref="D26:E26"/>
    <mergeCell ref="D27:E27"/>
    <mergeCell ref="A28:A38"/>
    <mergeCell ref="B28:B38"/>
    <mergeCell ref="C28:C38"/>
    <mergeCell ref="D28:D3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дод 1 Доходи</vt:lpstr>
      <vt:lpstr>дод 2 Джерела</vt:lpstr>
      <vt:lpstr>дод 3 Видатки</vt:lpstr>
      <vt:lpstr>дод 5 Трансферти</vt:lpstr>
      <vt:lpstr>дод 6 Програми</vt:lpstr>
      <vt:lpstr>дод 7 Бюджет розвитку</vt:lpstr>
      <vt:lpstr>дод 8 ФОНС</vt:lpstr>
      <vt:lpstr>'дод 1 Доходи'!Заголовки_для_печати</vt:lpstr>
      <vt:lpstr>'дод 3 Видатки'!Заголовки_для_печати</vt:lpstr>
      <vt:lpstr>'дод 6 Програми'!Заголовки_для_печати</vt:lpstr>
      <vt:lpstr>'дод 7 Бюджет розвитку'!Заголовки_для_печати</vt:lpstr>
      <vt:lpstr>'дод 1 Доходи'!Область_печати</vt:lpstr>
      <vt:lpstr>'дод 2 Джерела'!Область_печати</vt:lpstr>
      <vt:lpstr>'дод 3 Видатки'!Область_печати</vt:lpstr>
      <vt:lpstr>'дод 5 Трансферти'!Область_печати</vt:lpstr>
      <vt:lpstr>'дод 6 Програми'!Область_печати</vt:lpstr>
      <vt:lpstr>'дод 7 Бюджет розвитку'!Область_печати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polzovatel</cp:lastModifiedBy>
  <cp:lastPrinted>2024-02-16T12:57:46Z</cp:lastPrinted>
  <dcterms:created xsi:type="dcterms:W3CDTF">2021-12-17T13:26:15Z</dcterms:created>
  <dcterms:modified xsi:type="dcterms:W3CDTF">2024-02-16T13:00:04Z</dcterms:modified>
</cp:coreProperties>
</file>