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2\Desktop\ВИКОНКОМ\РІШЕННЯ\2024\27.08.2024\ВІДКРИТІ ПИТАННЯ\Фінплан мунварта\"/>
    </mc:Choice>
  </mc:AlternateContent>
  <xr:revisionPtr revIDLastSave="0" documentId="13_ncr:1_{CFF9DA3C-D50B-48CE-989F-38F95D47FD6B}" xr6:coauthVersionLast="47" xr6:coauthVersionMax="47" xr10:uidLastSave="{00000000-0000-0000-0000-000000000000}"/>
  <bookViews>
    <workbookView xWindow="-120" yWindow="-120" windowWidth="29040" windowHeight="15840" tabRatio="711" xr2:uid="{00000000-000D-0000-FFFF-FFFF00000000}"/>
  </bookViews>
  <sheets>
    <sheet name="ФІН.ПЛАН 2024" sheetId="9" r:id="rId1"/>
    <sheet name="помісячний" sheetId="11" r:id="rId2"/>
    <sheet name="розрахунок_2024" sheetId="12" r:id="rId3"/>
    <sheet name="ФОП_2024" sheetId="13" r:id="rId4"/>
    <sheet name="штат_8230_2024" sheetId="14" r:id="rId5"/>
  </sheets>
  <definedNames>
    <definedName name="_xlnm.Print_Titles" localSheetId="1">помісячний!$19:$20</definedName>
    <definedName name="_xlnm.Print_Titles" localSheetId="2">розрахунок_2024!$30:$31</definedName>
    <definedName name="_xlnm.Print_Area" localSheetId="1">помісячний!$A$1:$S$93</definedName>
    <definedName name="_xlnm.Print_Area" localSheetId="2">розрахунок_2024!$A$3:$G$94</definedName>
    <definedName name="_xlnm.Print_Area" localSheetId="0">'ФІН.ПЛАН 2024'!$A$1:$I$105</definedName>
    <definedName name="_xlnm.Print_Area" localSheetId="3">ФОП_2024!$A$1:$Q$36</definedName>
  </definedNames>
  <calcPr calcId="191029"/>
</workbook>
</file>

<file path=xl/calcChain.xml><?xml version="1.0" encoding="utf-8"?>
<calcChain xmlns="http://schemas.openxmlformats.org/spreadsheetml/2006/main">
  <c r="H75" i="9" l="1"/>
  <c r="H41" i="9"/>
  <c r="E38" i="9"/>
  <c r="E58" i="9"/>
  <c r="E57" i="9"/>
  <c r="E59" i="9"/>
  <c r="E60" i="9"/>
  <c r="E61" i="9"/>
  <c r="G79" i="12" l="1"/>
  <c r="G80" i="12"/>
  <c r="G78" i="12"/>
  <c r="G77" i="12" s="1"/>
  <c r="H77" i="11"/>
  <c r="I77" i="11"/>
  <c r="J77" i="11"/>
  <c r="K77" i="11"/>
  <c r="L77" i="11"/>
  <c r="M77" i="11"/>
  <c r="N77" i="11"/>
  <c r="O77" i="11"/>
  <c r="P77" i="11"/>
  <c r="Q77" i="11"/>
  <c r="R77" i="11"/>
  <c r="H78" i="11"/>
  <c r="I78" i="11"/>
  <c r="J78" i="11"/>
  <c r="K78" i="11"/>
  <c r="L78" i="11"/>
  <c r="M78" i="11"/>
  <c r="N78" i="11"/>
  <c r="O78" i="11"/>
  <c r="P78" i="11"/>
  <c r="Q78" i="11"/>
  <c r="R78" i="11"/>
  <c r="R76" i="11"/>
  <c r="R75" i="11" s="1"/>
  <c r="Q76" i="11"/>
  <c r="Q75" i="11" s="1"/>
  <c r="P76" i="11"/>
  <c r="P75" i="11" s="1"/>
  <c r="O76" i="11"/>
  <c r="O75" i="11" s="1"/>
  <c r="N76" i="11"/>
  <c r="N75" i="11" s="1"/>
  <c r="M76" i="11"/>
  <c r="L76" i="11"/>
  <c r="K76" i="11"/>
  <c r="J76" i="11"/>
  <c r="I76" i="11"/>
  <c r="H76" i="11"/>
  <c r="F78" i="11"/>
  <c r="F77" i="11"/>
  <c r="F76" i="11"/>
  <c r="I23" i="14"/>
  <c r="K22" i="14"/>
  <c r="L22" i="14" s="1"/>
  <c r="J22" i="14"/>
  <c r="K21" i="14"/>
  <c r="L21" i="14" s="1"/>
  <c r="J21" i="14"/>
  <c r="K20" i="14"/>
  <c r="L20" i="14" s="1"/>
  <c r="J20" i="14"/>
  <c r="J23" i="14" s="1"/>
  <c r="I18" i="14"/>
  <c r="K17" i="14"/>
  <c r="L17" i="14" s="1"/>
  <c r="J17" i="14"/>
  <c r="K16" i="14"/>
  <c r="L16" i="14" s="1"/>
  <c r="J16" i="14"/>
  <c r="J18" i="14" s="1"/>
  <c r="L15" i="14"/>
  <c r="I14" i="14"/>
  <c r="I24" i="14" s="1"/>
  <c r="K13" i="14"/>
  <c r="L13" i="14" s="1"/>
  <c r="J13" i="14"/>
  <c r="K12" i="14"/>
  <c r="L12" i="14" s="1"/>
  <c r="J12" i="14"/>
  <c r="K11" i="14"/>
  <c r="L11" i="14" s="1"/>
  <c r="J11" i="14"/>
  <c r="J10" i="14"/>
  <c r="J14" i="14" s="1"/>
  <c r="F75" i="11" l="1"/>
  <c r="S78" i="11"/>
  <c r="S77" i="11"/>
  <c r="S76" i="11"/>
  <c r="S75" i="11"/>
  <c r="L24" i="14"/>
  <c r="J24" i="14"/>
  <c r="D56" i="9" l="1"/>
  <c r="D55" i="9" s="1"/>
  <c r="D54" i="9" l="1"/>
  <c r="C66" i="9"/>
  <c r="C65" i="9" s="1"/>
  <c r="R23" i="11"/>
  <c r="H29" i="11"/>
  <c r="R29" i="11"/>
  <c r="R27" i="11"/>
  <c r="R24" i="11"/>
  <c r="R82" i="11"/>
  <c r="H82" i="11"/>
  <c r="F82" i="11"/>
  <c r="F81" i="11"/>
  <c r="Q82" i="11"/>
  <c r="P82" i="11"/>
  <c r="O82" i="11"/>
  <c r="N82" i="11"/>
  <c r="M82" i="11"/>
  <c r="L82" i="11"/>
  <c r="K82" i="11"/>
  <c r="J82" i="11"/>
  <c r="I82" i="11"/>
  <c r="R72" i="11"/>
  <c r="Q72" i="11"/>
  <c r="P72" i="11"/>
  <c r="O72" i="11"/>
  <c r="N72" i="11"/>
  <c r="M72" i="11"/>
  <c r="L72" i="11"/>
  <c r="K72" i="11"/>
  <c r="J72" i="11"/>
  <c r="I72" i="11"/>
  <c r="H72" i="11"/>
  <c r="I67" i="11"/>
  <c r="J67" i="11"/>
  <c r="K67" i="11"/>
  <c r="L67" i="11"/>
  <c r="M67" i="11"/>
  <c r="N67" i="11"/>
  <c r="O67" i="11"/>
  <c r="P67" i="11"/>
  <c r="Q67" i="11"/>
  <c r="S58" i="11"/>
  <c r="S57" i="11"/>
  <c r="S56" i="11"/>
  <c r="S54" i="11"/>
  <c r="S53" i="11"/>
  <c r="S51" i="11"/>
  <c r="S50" i="11"/>
  <c r="S49" i="11"/>
  <c r="S48" i="11"/>
  <c r="S47" i="11"/>
  <c r="S46" i="11"/>
  <c r="S45" i="11"/>
  <c r="S44" i="11"/>
  <c r="G55" i="11"/>
  <c r="H55" i="11"/>
  <c r="I55" i="11"/>
  <c r="J55" i="11"/>
  <c r="K55" i="11"/>
  <c r="L55" i="11"/>
  <c r="M55" i="11"/>
  <c r="N55" i="11"/>
  <c r="O55" i="11"/>
  <c r="P55" i="11"/>
  <c r="Q55" i="11"/>
  <c r="R55" i="11"/>
  <c r="S55" i="11"/>
  <c r="F58" i="11"/>
  <c r="F57" i="11"/>
  <c r="F56" i="11"/>
  <c r="F55" i="11" s="1"/>
  <c r="F54" i="11"/>
  <c r="F53" i="11"/>
  <c r="F50" i="11"/>
  <c r="F49" i="11"/>
  <c r="F48" i="11"/>
  <c r="F47" i="11"/>
  <c r="F46" i="11"/>
  <c r="F45" i="11"/>
  <c r="F44" i="11"/>
  <c r="G52" i="11"/>
  <c r="H52" i="11"/>
  <c r="I52" i="11"/>
  <c r="J52" i="11"/>
  <c r="K52" i="11"/>
  <c r="L52" i="11"/>
  <c r="M52" i="11"/>
  <c r="N52" i="11"/>
  <c r="O52" i="11"/>
  <c r="P52" i="11"/>
  <c r="Q52" i="11"/>
  <c r="R52" i="11"/>
  <c r="S52" i="11"/>
  <c r="G43" i="11"/>
  <c r="H43" i="11"/>
  <c r="I43" i="11"/>
  <c r="J43" i="11"/>
  <c r="K43" i="11"/>
  <c r="L43" i="11"/>
  <c r="M43" i="11"/>
  <c r="N43" i="11"/>
  <c r="O43" i="11"/>
  <c r="P43" i="11"/>
  <c r="Q43" i="11"/>
  <c r="R43" i="11"/>
  <c r="G31" i="11"/>
  <c r="G30" i="11" s="1"/>
  <c r="D51" i="11"/>
  <c r="F51" i="11" s="1"/>
  <c r="I29" i="11"/>
  <c r="J29" i="11" s="1"/>
  <c r="K29" i="11" s="1"/>
  <c r="L29" i="11" s="1"/>
  <c r="M29" i="11" s="1"/>
  <c r="N29" i="11" s="1"/>
  <c r="O29" i="11" s="1"/>
  <c r="P29" i="11" s="1"/>
  <c r="Q29" i="11" s="1"/>
  <c r="H27" i="11"/>
  <c r="I27" i="11" s="1"/>
  <c r="J27" i="11" s="1"/>
  <c r="K27" i="11" s="1"/>
  <c r="L27" i="11" s="1"/>
  <c r="M27" i="11" s="1"/>
  <c r="N27" i="11" s="1"/>
  <c r="O27" i="11" s="1"/>
  <c r="P27" i="11" s="1"/>
  <c r="Q27" i="11" s="1"/>
  <c r="R25" i="11"/>
  <c r="J27" i="13"/>
  <c r="J28" i="13" s="1"/>
  <c r="I27" i="13"/>
  <c r="G27" i="13"/>
  <c r="C27" i="13"/>
  <c r="P26" i="13"/>
  <c r="L26" i="13"/>
  <c r="M26" i="13" s="1"/>
  <c r="N26" i="13" s="1"/>
  <c r="O26" i="13" s="1"/>
  <c r="Q26" i="13" s="1"/>
  <c r="P25" i="13"/>
  <c r="L25" i="13"/>
  <c r="M25" i="13" s="1"/>
  <c r="N25" i="13" s="1"/>
  <c r="O25" i="13" s="1"/>
  <c r="P24" i="13"/>
  <c r="L24" i="13"/>
  <c r="M24" i="13" s="1"/>
  <c r="N24" i="13" s="1"/>
  <c r="I22" i="13"/>
  <c r="G22" i="13"/>
  <c r="C22" i="13"/>
  <c r="P21" i="13"/>
  <c r="L21" i="13"/>
  <c r="M21" i="13" s="1"/>
  <c r="N21" i="13" s="1"/>
  <c r="O21" i="13" s="1"/>
  <c r="P20" i="13"/>
  <c r="L20" i="13"/>
  <c r="G18" i="13"/>
  <c r="P17" i="13"/>
  <c r="L17" i="13"/>
  <c r="M17" i="13" s="1"/>
  <c r="N17" i="13" s="1"/>
  <c r="O17" i="13" s="1"/>
  <c r="P16" i="13"/>
  <c r="L16" i="13"/>
  <c r="M16" i="13" s="1"/>
  <c r="N16" i="13" s="1"/>
  <c r="O16" i="13" s="1"/>
  <c r="P15" i="13"/>
  <c r="L15" i="13"/>
  <c r="P14" i="13"/>
  <c r="N14" i="13"/>
  <c r="O14" i="13" s="1"/>
  <c r="P18" i="13" l="1"/>
  <c r="L18" i="13"/>
  <c r="Q17" i="13"/>
  <c r="S43" i="11"/>
  <c r="Q25" i="13"/>
  <c r="L22" i="13"/>
  <c r="P22" i="13"/>
  <c r="Q16" i="13"/>
  <c r="M20" i="13"/>
  <c r="N20" i="13" s="1"/>
  <c r="O20" i="13" s="1"/>
  <c r="Q20" i="13" s="1"/>
  <c r="Q21" i="13"/>
  <c r="I28" i="13"/>
  <c r="Q14" i="13"/>
  <c r="G28" i="13"/>
  <c r="M15" i="13"/>
  <c r="N15" i="13" s="1"/>
  <c r="O15" i="13" s="1"/>
  <c r="Q15" i="13" s="1"/>
  <c r="C28" i="13"/>
  <c r="P27" i="13"/>
  <c r="O22" i="13"/>
  <c r="N27" i="13"/>
  <c r="L27" i="13"/>
  <c r="O24" i="13"/>
  <c r="Q22" i="13" l="1"/>
  <c r="L28" i="13"/>
  <c r="N28" i="13"/>
  <c r="P28" i="13"/>
  <c r="D31" i="13" s="1"/>
  <c r="N22" i="13"/>
  <c r="Q18" i="13"/>
  <c r="O18" i="13"/>
  <c r="N18" i="13"/>
  <c r="O27" i="13"/>
  <c r="Q24" i="13"/>
  <c r="Q27" i="13" s="1"/>
  <c r="Q28" i="13" s="1"/>
  <c r="O28" i="13" l="1"/>
  <c r="D30" i="13" s="1"/>
  <c r="F84" i="12"/>
  <c r="G84" i="12" s="1"/>
  <c r="F83" i="12"/>
  <c r="G83" i="12" s="1"/>
  <c r="G76" i="12"/>
  <c r="G75" i="12"/>
  <c r="G74" i="12"/>
  <c r="G72" i="12"/>
  <c r="G71" i="12"/>
  <c r="G70" i="12"/>
  <c r="G68" i="12"/>
  <c r="G67" i="12" s="1"/>
  <c r="G66" i="12"/>
  <c r="G65" i="12"/>
  <c r="G64" i="12"/>
  <c r="G63" i="12"/>
  <c r="G60" i="12"/>
  <c r="G59" i="12"/>
  <c r="G58" i="12"/>
  <c r="G56" i="12"/>
  <c r="G55" i="12"/>
  <c r="E53" i="12"/>
  <c r="G53" i="12" s="1"/>
  <c r="G52" i="12"/>
  <c r="G51" i="12"/>
  <c r="G50" i="12"/>
  <c r="G49" i="12"/>
  <c r="G48" i="12"/>
  <c r="G47" i="12"/>
  <c r="G46" i="12"/>
  <c r="G44" i="12"/>
  <c r="G43" i="12"/>
  <c r="G42" i="12"/>
  <c r="G41" i="12"/>
  <c r="G40" i="12"/>
  <c r="G39" i="12"/>
  <c r="G38" i="12"/>
  <c r="G37" i="12"/>
  <c r="G36" i="12"/>
  <c r="G35" i="12"/>
  <c r="G34" i="12"/>
  <c r="G27" i="12"/>
  <c r="F26" i="12"/>
  <c r="G25" i="12"/>
  <c r="F24" i="12"/>
  <c r="F23" i="12"/>
  <c r="F22" i="12"/>
  <c r="F21" i="12"/>
  <c r="G20" i="12"/>
  <c r="N30" i="13" l="1"/>
  <c r="N31" i="13" s="1"/>
  <c r="G54" i="12"/>
  <c r="G62" i="12"/>
  <c r="G82" i="12"/>
  <c r="G81" i="12" s="1"/>
  <c r="G33" i="12"/>
  <c r="G69" i="12"/>
  <c r="G45" i="12"/>
  <c r="G57" i="12"/>
  <c r="G73" i="12"/>
  <c r="G61" i="12" l="1"/>
  <c r="G32" i="12"/>
  <c r="G85" i="12" s="1"/>
  <c r="G3" i="12" s="1"/>
  <c r="G19" i="12" l="1"/>
  <c r="S82" i="11"/>
  <c r="S81" i="11"/>
  <c r="R80" i="11"/>
  <c r="R79" i="11" s="1"/>
  <c r="Q80" i="11"/>
  <c r="Q79" i="11" s="1"/>
  <c r="P80" i="11"/>
  <c r="P79" i="11" s="1"/>
  <c r="O80" i="11"/>
  <c r="O79" i="11" s="1"/>
  <c r="N80" i="11"/>
  <c r="N79" i="11" s="1"/>
  <c r="M80" i="11"/>
  <c r="M79" i="11" s="1"/>
  <c r="L80" i="11"/>
  <c r="L79" i="11" s="1"/>
  <c r="K80" i="11"/>
  <c r="K79" i="11" s="1"/>
  <c r="J80" i="11"/>
  <c r="J79" i="11" s="1"/>
  <c r="I80" i="11"/>
  <c r="I79" i="11" s="1"/>
  <c r="H80" i="11"/>
  <c r="H79" i="11" s="1"/>
  <c r="G80" i="11"/>
  <c r="S74" i="11"/>
  <c r="F74" i="11"/>
  <c r="S73" i="11"/>
  <c r="F73" i="11"/>
  <c r="S72" i="11"/>
  <c r="F72" i="11"/>
  <c r="R71" i="11"/>
  <c r="Q71" i="11"/>
  <c r="P71" i="11"/>
  <c r="O71" i="11"/>
  <c r="N71" i="11"/>
  <c r="M71" i="11"/>
  <c r="L71" i="11"/>
  <c r="K71" i="11"/>
  <c r="J71" i="11"/>
  <c r="I71" i="11"/>
  <c r="H71" i="11"/>
  <c r="G71" i="11"/>
  <c r="S70" i="11"/>
  <c r="F70" i="11"/>
  <c r="S69" i="11"/>
  <c r="F69" i="11"/>
  <c r="S68" i="11"/>
  <c r="F68" i="11"/>
  <c r="R67" i="11"/>
  <c r="H67" i="11"/>
  <c r="R66" i="11"/>
  <c r="Q66" i="11"/>
  <c r="P66" i="11"/>
  <c r="O66" i="11"/>
  <c r="N66" i="11"/>
  <c r="M66" i="11"/>
  <c r="L66" i="11"/>
  <c r="K66" i="11"/>
  <c r="J66" i="11"/>
  <c r="I66" i="11"/>
  <c r="H66" i="11"/>
  <c r="G66" i="11"/>
  <c r="S66" i="11" s="1"/>
  <c r="F66" i="11"/>
  <c r="F65" i="11" s="1"/>
  <c r="S65" i="11"/>
  <c r="L64" i="11"/>
  <c r="S64" i="11" s="1"/>
  <c r="F64" i="11"/>
  <c r="S63" i="11"/>
  <c r="F63" i="11"/>
  <c r="S62" i="11"/>
  <c r="F62" i="11"/>
  <c r="S61" i="11"/>
  <c r="F61" i="11"/>
  <c r="R60" i="11"/>
  <c r="R59" i="11" s="1"/>
  <c r="Q60" i="11"/>
  <c r="Q59" i="11" s="1"/>
  <c r="P60" i="11"/>
  <c r="P59" i="11" s="1"/>
  <c r="O60" i="11"/>
  <c r="O59" i="11" s="1"/>
  <c r="N60" i="11"/>
  <c r="N59" i="11" s="1"/>
  <c r="M60" i="11"/>
  <c r="M59" i="11" s="1"/>
  <c r="K60" i="11"/>
  <c r="K59" i="11" s="1"/>
  <c r="J60" i="11"/>
  <c r="J59" i="11" s="1"/>
  <c r="I60" i="11"/>
  <c r="I59" i="11" s="1"/>
  <c r="H60" i="11"/>
  <c r="H59" i="11" s="1"/>
  <c r="G60" i="11"/>
  <c r="G59" i="11" s="1"/>
  <c r="S42" i="11"/>
  <c r="F42" i="11"/>
  <c r="S41" i="11"/>
  <c r="F41" i="11"/>
  <c r="S40" i="11"/>
  <c r="F40" i="11"/>
  <c r="S39" i="11"/>
  <c r="F39" i="11"/>
  <c r="F38" i="11"/>
  <c r="S38" i="11" s="1"/>
  <c r="F37" i="11"/>
  <c r="S37" i="11" s="1"/>
  <c r="F36" i="11"/>
  <c r="S36" i="11" s="1"/>
  <c r="F35" i="11"/>
  <c r="S35" i="11" s="1"/>
  <c r="S34" i="11"/>
  <c r="F34" i="11"/>
  <c r="F33" i="11"/>
  <c r="S33" i="11" s="1"/>
  <c r="S32" i="11"/>
  <c r="F32" i="11"/>
  <c r="R31" i="11"/>
  <c r="R30" i="11" s="1"/>
  <c r="Q31" i="11"/>
  <c r="Q30" i="11" s="1"/>
  <c r="P31" i="11"/>
  <c r="P30" i="11" s="1"/>
  <c r="O31" i="11"/>
  <c r="O30" i="11" s="1"/>
  <c r="N31" i="11"/>
  <c r="N30" i="11" s="1"/>
  <c r="L31" i="11"/>
  <c r="L30" i="11" s="1"/>
  <c r="K31" i="11"/>
  <c r="K30" i="11" s="1"/>
  <c r="J31" i="11"/>
  <c r="J30" i="11" s="1"/>
  <c r="I31" i="11"/>
  <c r="I30" i="11" s="1"/>
  <c r="H31" i="11"/>
  <c r="H30" i="11" s="1"/>
  <c r="S29" i="11"/>
  <c r="R28" i="11"/>
  <c r="Q28" i="11"/>
  <c r="P28" i="11"/>
  <c r="O28" i="11"/>
  <c r="N28" i="11"/>
  <c r="M28" i="11"/>
  <c r="L28" i="11"/>
  <c r="K28" i="11"/>
  <c r="J28" i="11"/>
  <c r="I28" i="11"/>
  <c r="H28" i="11"/>
  <c r="G28" i="11"/>
  <c r="S27" i="11"/>
  <c r="F27" i="11"/>
  <c r="G26" i="11"/>
  <c r="G21" i="11" s="1"/>
  <c r="H25" i="11"/>
  <c r="I25" i="11" s="1"/>
  <c r="J25" i="11" s="1"/>
  <c r="K25" i="11" s="1"/>
  <c r="L25" i="11" s="1"/>
  <c r="M25" i="11" s="1"/>
  <c r="N25" i="11" s="1"/>
  <c r="O25" i="11" s="1"/>
  <c r="P25" i="11" s="1"/>
  <c r="Q25" i="11" s="1"/>
  <c r="F25" i="11"/>
  <c r="I24" i="11"/>
  <c r="J24" i="11" s="1"/>
  <c r="K24" i="11" s="1"/>
  <c r="L24" i="11" s="1"/>
  <c r="M24" i="11" s="1"/>
  <c r="N24" i="11" s="1"/>
  <c r="O24" i="11" s="1"/>
  <c r="P24" i="11" s="1"/>
  <c r="Q24" i="11" s="1"/>
  <c r="H24" i="11"/>
  <c r="F24" i="11"/>
  <c r="H23" i="11"/>
  <c r="F23" i="11"/>
  <c r="H22" i="11"/>
  <c r="F22" i="11"/>
  <c r="I23" i="11" l="1"/>
  <c r="J23" i="11" s="1"/>
  <c r="K23" i="11" s="1"/>
  <c r="L23" i="11" s="1"/>
  <c r="M23" i="11" s="1"/>
  <c r="N23" i="11" s="1"/>
  <c r="O23" i="11" s="1"/>
  <c r="P23" i="11" s="1"/>
  <c r="Q23" i="11" s="1"/>
  <c r="F67" i="11"/>
  <c r="L60" i="11"/>
  <c r="F80" i="11"/>
  <c r="F79" i="11" s="1"/>
  <c r="F71" i="11"/>
  <c r="F60" i="11"/>
  <c r="H26" i="11"/>
  <c r="H21" i="11" s="1"/>
  <c r="S71" i="11"/>
  <c r="S25" i="11"/>
  <c r="I22" i="11"/>
  <c r="S67" i="11"/>
  <c r="F26" i="11"/>
  <c r="F21" i="11" s="1"/>
  <c r="F31" i="11"/>
  <c r="F30" i="11" s="1"/>
  <c r="S80" i="11"/>
  <c r="S79" i="11" s="1"/>
  <c r="S28" i="11"/>
  <c r="S31" i="11"/>
  <c r="S30" i="11" s="1"/>
  <c r="M31" i="11"/>
  <c r="M30" i="11" s="1"/>
  <c r="S24" i="11"/>
  <c r="G79" i="11"/>
  <c r="F59" i="11" l="1"/>
  <c r="S60" i="11"/>
  <c r="L59" i="11"/>
  <c r="S59" i="11" s="1"/>
  <c r="S23" i="11"/>
  <c r="F29" i="11"/>
  <c r="F28" i="11" s="1"/>
  <c r="F83" i="11" s="1"/>
  <c r="G83" i="11"/>
  <c r="H83" i="11"/>
  <c r="I26" i="11"/>
  <c r="I21" i="11" s="1"/>
  <c r="I83" i="11" s="1"/>
  <c r="J22" i="11"/>
  <c r="K22" i="11" l="1"/>
  <c r="J26" i="11"/>
  <c r="J21" i="11" s="1"/>
  <c r="J83" i="11" s="1"/>
  <c r="K26" i="11" l="1"/>
  <c r="K21" i="11" s="1"/>
  <c r="K83" i="11" s="1"/>
  <c r="L22" i="11"/>
  <c r="L26" i="11" l="1"/>
  <c r="L21" i="11" s="1"/>
  <c r="L83" i="11" s="1"/>
  <c r="M22" i="11"/>
  <c r="N22" i="11" l="1"/>
  <c r="M26" i="11"/>
  <c r="M21" i="11" s="1"/>
  <c r="M83" i="11" s="1"/>
  <c r="N26" i="11" l="1"/>
  <c r="N21" i="11" s="1"/>
  <c r="N83" i="11" s="1"/>
  <c r="O22" i="11"/>
  <c r="P22" i="11" l="1"/>
  <c r="O26" i="11"/>
  <c r="O21" i="11" s="1"/>
  <c r="O83" i="11" s="1"/>
  <c r="P26" i="11" l="1"/>
  <c r="P21" i="11" s="1"/>
  <c r="P83" i="11" s="1"/>
  <c r="Q22" i="11"/>
  <c r="R22" i="11" l="1"/>
  <c r="R26" i="11" s="1"/>
  <c r="R21" i="11" s="1"/>
  <c r="R83" i="11" s="1"/>
  <c r="Q26" i="11"/>
  <c r="Q21" i="11" l="1"/>
  <c r="S26" i="11"/>
  <c r="S22" i="11"/>
  <c r="Q83" i="11" l="1"/>
  <c r="S83" i="11" s="1"/>
  <c r="S21" i="11"/>
  <c r="D75" i="9" l="1"/>
  <c r="D65" i="9"/>
  <c r="C56" i="9"/>
  <c r="C54" i="9" s="1"/>
  <c r="I66" i="9"/>
  <c r="E39" i="9" l="1"/>
  <c r="H66" i="9" l="1"/>
  <c r="E66" i="9" l="1"/>
  <c r="E65" i="9" s="1"/>
  <c r="G66" i="9"/>
  <c r="G65" i="9" l="1"/>
  <c r="F66" i="9"/>
  <c r="F65" i="9" s="1"/>
  <c r="H65" i="9"/>
  <c r="I65" i="9"/>
  <c r="G56" i="9" l="1"/>
  <c r="G54" i="9" s="1"/>
  <c r="G44" i="9" s="1"/>
  <c r="G43" i="9" s="1"/>
  <c r="G37" i="9" s="1"/>
  <c r="G41" i="9" s="1"/>
  <c r="G55" i="9" l="1"/>
  <c r="E90" i="9"/>
  <c r="F90" i="9"/>
  <c r="G90" i="9"/>
  <c r="H90" i="9"/>
  <c r="I90" i="9"/>
  <c r="I75" i="9"/>
  <c r="G75" i="9" l="1"/>
  <c r="H56" i="9"/>
  <c r="H54" i="9" s="1"/>
  <c r="H44" i="9" s="1"/>
  <c r="H43" i="9" s="1"/>
  <c r="I56" i="9"/>
  <c r="C50" i="9"/>
  <c r="C41" i="9"/>
  <c r="D90" i="9"/>
  <c r="E50" i="9"/>
  <c r="D41" i="9"/>
  <c r="K1" i="9"/>
  <c r="I1" i="9"/>
  <c r="F1" i="9"/>
  <c r="C1" i="9"/>
  <c r="C75" i="9" l="1"/>
  <c r="C43" i="9"/>
  <c r="C44" i="9"/>
  <c r="H55" i="9"/>
  <c r="I55" i="9"/>
  <c r="C77" i="9"/>
  <c r="C55" i="9"/>
  <c r="E75" i="9" l="1"/>
  <c r="E56" i="9"/>
  <c r="E54" i="9" s="1"/>
  <c r="F75" i="9"/>
  <c r="F56" i="9"/>
  <c r="I54" i="9"/>
  <c r="I44" i="9" s="1"/>
  <c r="I43" i="9" s="1"/>
  <c r="I37" i="9" s="1"/>
  <c r="I41" i="9" s="1"/>
  <c r="E55" i="9" l="1"/>
  <c r="F55" i="9"/>
  <c r="F54" i="9"/>
  <c r="F44" i="9" s="1"/>
  <c r="D43" i="9"/>
  <c r="D77" i="9" s="1"/>
  <c r="D44" i="9"/>
  <c r="F43" i="9" l="1"/>
  <c r="F37" i="9" s="1"/>
  <c r="E44" i="9"/>
  <c r="E43" i="9" s="1"/>
  <c r="F41" i="9"/>
  <c r="E37" i="9"/>
  <c r="E41" i="9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Автор</author>
  </authors>
  <commentList>
    <comment ref="O12" authorId="0" shapeId="0" xr:uid="{00000000-0006-0000-0300-000001000000}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</commentList>
</comments>
</file>

<file path=xl/sharedStrings.xml><?xml version="1.0" encoding="utf-8"?>
<sst xmlns="http://schemas.openxmlformats.org/spreadsheetml/2006/main" count="660" uniqueCount="427">
  <si>
    <t>X</t>
  </si>
  <si>
    <t>020</t>
  </si>
  <si>
    <t>030</t>
  </si>
  <si>
    <t xml:space="preserve">                                                                                                                                  </t>
  </si>
  <si>
    <t xml:space="preserve">за ЄДРПОУ </t>
  </si>
  <si>
    <t xml:space="preserve">за  КВЕД  </t>
  </si>
  <si>
    <t>021</t>
  </si>
  <si>
    <t>022</t>
  </si>
  <si>
    <t>023</t>
  </si>
  <si>
    <t>024</t>
  </si>
  <si>
    <t>025</t>
  </si>
  <si>
    <t>026</t>
  </si>
  <si>
    <t>027</t>
  </si>
  <si>
    <t>028</t>
  </si>
  <si>
    <t>029</t>
  </si>
  <si>
    <t>за КОПФГ</t>
  </si>
  <si>
    <t>001</t>
  </si>
  <si>
    <t>002</t>
  </si>
  <si>
    <t>003</t>
  </si>
  <si>
    <t>004</t>
  </si>
  <si>
    <t>Усього витрати</t>
  </si>
  <si>
    <t xml:space="preserve">Місцезнаходження  </t>
  </si>
  <si>
    <t xml:space="preserve">Телефон </t>
  </si>
  <si>
    <t xml:space="preserve">Прізвище та ініціали керівника  </t>
  </si>
  <si>
    <t xml:space="preserve">Організаційно-правова форма </t>
  </si>
  <si>
    <t xml:space="preserve">Вид економічної діяльності    </t>
  </si>
  <si>
    <t xml:space="preserve">Галузь     </t>
  </si>
  <si>
    <t xml:space="preserve">Код рядка </t>
  </si>
  <si>
    <t>011</t>
  </si>
  <si>
    <t>012</t>
  </si>
  <si>
    <t>013</t>
  </si>
  <si>
    <t>014</t>
  </si>
  <si>
    <t>015</t>
  </si>
  <si>
    <t>податок на додану вартість</t>
  </si>
  <si>
    <t>016</t>
  </si>
  <si>
    <t>Усього доходів</t>
  </si>
  <si>
    <t>коди</t>
  </si>
  <si>
    <t>Рік</t>
  </si>
  <si>
    <t>Територія</t>
  </si>
  <si>
    <t>за КОАТУУ</t>
  </si>
  <si>
    <t>Форма власності</t>
  </si>
  <si>
    <t>Чисельність працівників</t>
  </si>
  <si>
    <t>Основні фінансові показники підприємства</t>
  </si>
  <si>
    <t>І. Формування прибутку підприємства</t>
  </si>
  <si>
    <t>Дохід (виручка) від реалізації продукції (товарів, робіт, послуг)</t>
  </si>
  <si>
    <t>інші непрямі податки</t>
  </si>
  <si>
    <t>005</t>
  </si>
  <si>
    <t>006</t>
  </si>
  <si>
    <t>007</t>
  </si>
  <si>
    <t>008</t>
  </si>
  <si>
    <t>009</t>
  </si>
  <si>
    <t>017</t>
  </si>
  <si>
    <t>018</t>
  </si>
  <si>
    <t>019</t>
  </si>
  <si>
    <t>Доходи</t>
  </si>
  <si>
    <t>Витрати</t>
  </si>
  <si>
    <t>Фінансові результати діяльності:</t>
  </si>
  <si>
    <t>Валовий прибуток (збиток)</t>
  </si>
  <si>
    <t>Чистий  прибуток (збиток), у тому числі:</t>
  </si>
  <si>
    <t xml:space="preserve">прибуток </t>
  </si>
  <si>
    <t>збиток</t>
  </si>
  <si>
    <t>ІІ. Розподіл чистого прибутку</t>
  </si>
  <si>
    <t xml:space="preserve">Відрахування частини прибутку:  </t>
  </si>
  <si>
    <t>Резервний фонд</t>
  </si>
  <si>
    <t>031</t>
  </si>
  <si>
    <t>032</t>
  </si>
  <si>
    <t>ІІІ. Обов’язкові платежі підприємства до бюджету та державних цільових фондів</t>
  </si>
  <si>
    <t>033</t>
  </si>
  <si>
    <t>034</t>
  </si>
  <si>
    <t>035</t>
  </si>
  <si>
    <t>місцеві податки та збори</t>
  </si>
  <si>
    <t>І  квартал</t>
  </si>
  <si>
    <t>ІІ  квартал</t>
  </si>
  <si>
    <t>ІІІ  квартал</t>
  </si>
  <si>
    <t>ІV квартал</t>
  </si>
  <si>
    <t>Залишок нерозподіленого прибутку (непокритого збитку) на кінець звітного періоду</t>
  </si>
  <si>
    <t>Комунальне підприємство</t>
  </si>
  <si>
    <t>84.11</t>
  </si>
  <si>
    <t>007/1</t>
  </si>
  <si>
    <t>018/1</t>
  </si>
  <si>
    <t xml:space="preserve">Фонд розвитку виробництва (%)  </t>
  </si>
  <si>
    <t>Обов’язкові платежі, у тому числі:</t>
  </si>
  <si>
    <t>інші платежі (розшифрувати)</t>
  </si>
  <si>
    <t>до Порядку затвердження фінансового плану</t>
  </si>
  <si>
    <t>Комунальних підпрприємств</t>
  </si>
  <si>
    <t>м. Южне</t>
  </si>
  <si>
    <t>Витрати за рахунок доходів із місцевого бюджету за цільовими програмами, у т.ч:</t>
  </si>
  <si>
    <t>018/2</t>
  </si>
  <si>
    <t>018/3</t>
  </si>
  <si>
    <t>018/4</t>
  </si>
  <si>
    <t>018/5</t>
  </si>
  <si>
    <t>018/6</t>
  </si>
  <si>
    <t>018/7</t>
  </si>
  <si>
    <t xml:space="preserve"> - інши витрати </t>
  </si>
  <si>
    <t>018/8</t>
  </si>
  <si>
    <t>018/9</t>
  </si>
  <si>
    <t xml:space="preserve"> - адміністративні     </t>
  </si>
  <si>
    <t xml:space="preserve"> - загальновиробничі </t>
  </si>
  <si>
    <t>Чистий дохід (виручка) від реалізації   продукції (товарів, робіт, послуг) (розшифрування)</t>
  </si>
  <si>
    <t xml:space="preserve">  - спец.фонд:  </t>
  </si>
  <si>
    <t>007/2</t>
  </si>
  <si>
    <r>
      <t xml:space="preserve">Орган  управління  </t>
    </r>
    <r>
      <rPr>
        <b/>
        <i/>
        <sz val="12"/>
        <rFont val="Times New Roman Cyr"/>
        <family val="1"/>
        <charset val="204"/>
      </rPr>
      <t xml:space="preserve"> </t>
    </r>
  </si>
  <si>
    <t>Виконавчий комітет Южнеської міської ради</t>
  </si>
  <si>
    <t>Охорона діяльність</t>
  </si>
  <si>
    <t xml:space="preserve">Одиниця виміру: </t>
  </si>
  <si>
    <t>тис.грн</t>
  </si>
  <si>
    <t>комунальна</t>
  </si>
  <si>
    <r>
      <rPr>
        <sz val="12"/>
        <rFont val="Times New Roman"/>
        <family val="1"/>
        <charset val="204"/>
      </rPr>
      <t>Втрати на збут</t>
    </r>
    <r>
      <rPr>
        <i/>
        <sz val="12"/>
        <rFont val="Times New Roman"/>
        <family val="1"/>
        <charset val="204"/>
      </rPr>
      <t xml:space="preserve"> (розшифрування)</t>
    </r>
  </si>
  <si>
    <t>У тому числі поквартально</t>
  </si>
  <si>
    <t xml:space="preserve">Дохід з місцевого бюджету за цільовими програмами,  у т.ч.   - загальний фонд                                                                    </t>
  </si>
  <si>
    <t>010</t>
  </si>
  <si>
    <t>011/1</t>
  </si>
  <si>
    <t xml:space="preserve"> - заробітна плата (згідно додатку)</t>
  </si>
  <si>
    <t xml:space="preserve"> - нарахування ЄСВ (згідно додатку)</t>
  </si>
  <si>
    <t xml:space="preserve"> - матеріальні витрати  (згідно додатку)</t>
  </si>
  <si>
    <t xml:space="preserve"> - спеціального фонду:  </t>
  </si>
  <si>
    <t xml:space="preserve">Фінансовий результат від операційної діяльності       прибуток                                                                       </t>
  </si>
  <si>
    <t xml:space="preserve">   збиток</t>
  </si>
  <si>
    <t xml:space="preserve">Фінансовий результат від звичайної діяльності до оподаткування   прибуток               </t>
  </si>
  <si>
    <t>Податок на прибуток від звичайної діяльності</t>
  </si>
  <si>
    <t>Фонд матеріального заохочення (%)</t>
  </si>
  <si>
    <t xml:space="preserve">    </t>
  </si>
  <si>
    <r>
      <t xml:space="preserve">Інші вирахування з доходу </t>
    </r>
    <r>
      <rPr>
        <i/>
        <sz val="12"/>
        <rFont val="Times New Roman"/>
        <family val="1"/>
        <charset val="204"/>
      </rPr>
      <t>(розшифрування)</t>
    </r>
  </si>
  <si>
    <r>
      <t xml:space="preserve">Інші операційні доходи </t>
    </r>
    <r>
      <rPr>
        <i/>
        <sz val="12"/>
        <rFont val="Times New Roman"/>
        <family val="1"/>
        <charset val="204"/>
      </rPr>
      <t>(розшифрування)</t>
    </r>
  </si>
  <si>
    <r>
      <t xml:space="preserve">Інші фінансові доходи </t>
    </r>
    <r>
      <rPr>
        <i/>
        <sz val="12"/>
        <rFont val="Times New Roman"/>
        <family val="1"/>
        <charset val="204"/>
      </rPr>
      <t>(розшифрування)</t>
    </r>
  </si>
  <si>
    <r>
      <t xml:space="preserve"> </t>
    </r>
    <r>
      <rPr>
        <i/>
        <sz val="12"/>
        <rFont val="Times New Roman"/>
        <family val="1"/>
        <charset val="204"/>
      </rPr>
      <t>Дохід від безкоштовно отриманих активів (розшифрування)</t>
    </r>
  </si>
  <si>
    <r>
      <t xml:space="preserve">Інші доходи </t>
    </r>
    <r>
      <rPr>
        <i/>
        <sz val="12"/>
        <rFont val="Times New Roman"/>
        <family val="1"/>
        <charset val="204"/>
      </rPr>
      <t xml:space="preserve"> </t>
    </r>
  </si>
  <si>
    <r>
      <t>Собівартість реалізованої продукції (товарів, робіт та послуг)</t>
    </r>
    <r>
      <rPr>
        <i/>
        <sz val="12"/>
        <rFont val="Times New Roman"/>
        <family val="1"/>
        <charset val="204"/>
      </rPr>
      <t xml:space="preserve"> </t>
    </r>
  </si>
  <si>
    <r>
      <t xml:space="preserve">У   тому числі витрат операційної діяльності, </t>
    </r>
    <r>
      <rPr>
        <i/>
        <sz val="12"/>
        <rFont val="Times New Roman"/>
        <family val="1"/>
        <charset val="204"/>
      </rPr>
      <t>(розшифрування)</t>
    </r>
  </si>
  <si>
    <r>
      <t xml:space="preserve">Матеріальні  витрати </t>
    </r>
    <r>
      <rPr>
        <i/>
        <sz val="12"/>
        <rFont val="Times New Roman"/>
        <family val="1"/>
        <charset val="204"/>
      </rPr>
      <t>(згідно додатку)</t>
    </r>
  </si>
  <si>
    <r>
      <t xml:space="preserve">Витрати на оплату праці </t>
    </r>
    <r>
      <rPr>
        <i/>
        <sz val="12"/>
        <rFont val="Times New Roman"/>
        <family val="1"/>
        <charset val="204"/>
      </rPr>
      <t xml:space="preserve">(згідно додатку),з них:                                                                     </t>
    </r>
  </si>
  <si>
    <r>
      <t xml:space="preserve">Витрати на соціальні заходи </t>
    </r>
    <r>
      <rPr>
        <i/>
        <sz val="12"/>
        <rFont val="Times New Roman"/>
        <family val="1"/>
        <charset val="204"/>
      </rPr>
      <t>(згідно додатку)</t>
    </r>
  </si>
  <si>
    <r>
      <rPr>
        <sz val="12"/>
        <rFont val="Times New Roman"/>
        <family val="1"/>
        <charset val="204"/>
      </rPr>
      <t xml:space="preserve">Амортизація </t>
    </r>
    <r>
      <rPr>
        <i/>
        <sz val="12"/>
        <rFont val="Times New Roman"/>
        <family val="1"/>
        <charset val="204"/>
      </rPr>
      <t>від безкоштовно отриманих активів  (згідно додатку)</t>
    </r>
  </si>
  <si>
    <r>
      <t xml:space="preserve">Інші операційні витрати </t>
    </r>
    <r>
      <rPr>
        <i/>
        <sz val="12"/>
        <rFont val="Times New Roman"/>
        <family val="1"/>
        <charset val="204"/>
      </rPr>
      <t>(розшифрування)</t>
    </r>
  </si>
  <si>
    <r>
      <t>Інші фінансові витрати (</t>
    </r>
    <r>
      <rPr>
        <i/>
        <sz val="12"/>
        <rFont val="Times New Roman"/>
        <family val="1"/>
        <charset val="204"/>
      </rPr>
      <t>згідно додатку)</t>
    </r>
  </si>
  <si>
    <r>
      <t xml:space="preserve"> </t>
    </r>
    <r>
      <rPr>
        <b/>
        <sz val="12"/>
        <rFont val="Times New Roman"/>
        <family val="1"/>
        <charset val="204"/>
      </rPr>
      <t>-</t>
    </r>
    <r>
      <rPr>
        <b/>
        <i/>
        <sz val="12"/>
        <rFont val="Times New Roman"/>
        <family val="1"/>
        <charset val="204"/>
      </rPr>
      <t xml:space="preserve"> загального фонду:</t>
    </r>
    <r>
      <rPr>
        <b/>
        <sz val="12"/>
        <rFont val="Times New Roman"/>
        <family val="1"/>
        <charset val="204"/>
      </rPr>
      <t xml:space="preserve">  </t>
    </r>
    <r>
      <rPr>
        <sz val="12"/>
        <rFont val="Times New Roman"/>
        <family val="1"/>
        <charset val="204"/>
      </rPr>
      <t xml:space="preserve">                                                               </t>
    </r>
  </si>
  <si>
    <r>
      <t xml:space="preserve"> - інші операційні витрати,(</t>
    </r>
    <r>
      <rPr>
        <b/>
        <i/>
        <sz val="12"/>
        <rFont val="Times New Roman"/>
        <family val="1"/>
        <charset val="204"/>
      </rPr>
      <t>оплата послуг крім комунальних</t>
    </r>
    <r>
      <rPr>
        <i/>
        <sz val="12"/>
        <rFont val="Times New Roman"/>
        <family val="1"/>
        <charset val="204"/>
      </rPr>
      <t xml:space="preserve"> (розшифрування))</t>
    </r>
  </si>
  <si>
    <r>
      <t xml:space="preserve"> - </t>
    </r>
    <r>
      <rPr>
        <b/>
        <i/>
        <sz val="12"/>
        <rFont val="Times New Roman"/>
        <family val="1"/>
        <charset val="204"/>
      </rPr>
      <t>оплата комунальних послуг,</t>
    </r>
    <r>
      <rPr>
        <i/>
        <sz val="12"/>
        <rFont val="Times New Roman"/>
        <family val="1"/>
        <charset val="204"/>
      </rPr>
      <t xml:space="preserve"> (згідно додатку)</t>
    </r>
  </si>
  <si>
    <r>
      <t xml:space="preserve">Інші витрати </t>
    </r>
    <r>
      <rPr>
        <i/>
        <sz val="12"/>
        <rFont val="Times New Roman"/>
        <family val="1"/>
        <charset val="204"/>
      </rPr>
      <t>(розшифрування)</t>
    </r>
  </si>
  <si>
    <r>
      <t xml:space="preserve">Інші фонди </t>
    </r>
    <r>
      <rPr>
        <b/>
        <i/>
        <sz val="12"/>
        <rFont val="Times New Roman"/>
        <family val="1"/>
        <charset val="204"/>
      </rPr>
      <t>(розшифрувати)</t>
    </r>
  </si>
  <si>
    <t>Підприємство  ЮЖНЕНСЬКЕ  КОМУНАЛЬНЕ ПІДПРИЄМСТВО "МУНІЦИПАЛЬНА ВАРТА"</t>
  </si>
  <si>
    <t>020/1</t>
  </si>
  <si>
    <t>020/2</t>
  </si>
  <si>
    <t>020/3</t>
  </si>
  <si>
    <t>020/4</t>
  </si>
  <si>
    <t>020/5</t>
  </si>
  <si>
    <t>020/6</t>
  </si>
  <si>
    <t>020/7</t>
  </si>
  <si>
    <t>020/8</t>
  </si>
  <si>
    <t>030/1</t>
  </si>
  <si>
    <t>030/2</t>
  </si>
  <si>
    <t>036</t>
  </si>
  <si>
    <t>037</t>
  </si>
  <si>
    <t>038</t>
  </si>
  <si>
    <t>039</t>
  </si>
  <si>
    <t>Програма забезпечення діяльності  Южненського комунального підприємства "Муніципальна варта " на 2022-2024 роки</t>
  </si>
  <si>
    <t>м. Южне, просп. Миру, 17</t>
  </si>
  <si>
    <t>Програми підготовки територіальної оборони та місцевого населення до участі в русі національного спротиву, посилення заходів громадської безпеки в Южненській міській територіальній громаді Одеського району Одеської області на 2022-2024 роки</t>
  </si>
  <si>
    <t>ЗАТВЕРДЖЕНИЙ</t>
  </si>
  <si>
    <t xml:space="preserve">у сумі </t>
  </si>
  <si>
    <t xml:space="preserve">Три мільони чотириста п' ятдесят сім тисяч </t>
  </si>
  <si>
    <t xml:space="preserve">гривень 00 копійок </t>
  </si>
  <si>
    <t>(сума літерами і цифрами)</t>
  </si>
  <si>
    <t>Міський голова</t>
  </si>
  <si>
    <t>(посада)</t>
  </si>
  <si>
    <t>В.М. Новацький</t>
  </si>
  <si>
    <t>(підпис)</t>
  </si>
  <si>
    <t>(ініціали і прізвище)</t>
  </si>
  <si>
    <t>23 січня 2015 року</t>
  </si>
  <si>
    <t>(число,місяць,рік)</t>
  </si>
  <si>
    <t>М.П.</t>
  </si>
  <si>
    <t xml:space="preserve">ЮЖНЕНСЬКОГО КОМУНАЛЬНОГО ПІДПРИЄМСТВА "МУНІЦИПАЛЬНА ВАРТА" </t>
  </si>
  <si>
    <t>грн.</t>
  </si>
  <si>
    <t>№ з/п</t>
  </si>
  <si>
    <t>Назва послуг, матеріалів, інше</t>
  </si>
  <si>
    <t>Од.ви-міру</t>
  </si>
  <si>
    <t>К-ть штатних одиниць</t>
  </si>
  <si>
    <t>Середньмісячна зарплата за місяць</t>
  </si>
  <si>
    <t xml:space="preserve">ФОП на 2023 рік </t>
  </si>
  <si>
    <t>1.</t>
  </si>
  <si>
    <t>Заробітна плата</t>
  </si>
  <si>
    <t>Посадовий оклад</t>
  </si>
  <si>
    <t>шт.од.</t>
  </si>
  <si>
    <t xml:space="preserve">Фонд преміювання </t>
  </si>
  <si>
    <t>Нічні</t>
  </si>
  <si>
    <t>Надбавка за виконання особливо важливої роботи на певний термін (до 50%)</t>
  </si>
  <si>
    <t>Матеріальна допомога на оздоровлення в розмірі середньомісячної заробітної плати</t>
  </si>
  <si>
    <t>2.</t>
  </si>
  <si>
    <t>Нарахування на оплату праці</t>
  </si>
  <si>
    <t>Згідно Закону України від 08.07.2010 року № 2464-VІ «Про збір та облік єдиного внеску на загальнообов’язкове державне соціальне страхування» (22%)</t>
  </si>
  <si>
    <t>К-ть</t>
  </si>
  <si>
    <t>Ціна</t>
  </si>
  <si>
    <t>Сума</t>
  </si>
  <si>
    <t>3.</t>
  </si>
  <si>
    <t>Предмети, матеріали, обладнання та інвентар</t>
  </si>
  <si>
    <t>3.1</t>
  </si>
  <si>
    <t>Канцелярські товари</t>
  </si>
  <si>
    <t>Фарба штемпельна</t>
  </si>
  <si>
    <t>шт</t>
  </si>
  <si>
    <t>Папка Справа А4 + картон</t>
  </si>
  <si>
    <t>Скоби  для степлера № 10/5</t>
  </si>
  <si>
    <t>Біндер 25 мм, 12 шт</t>
  </si>
  <si>
    <t>Скріпки 25 мм, 100 шт</t>
  </si>
  <si>
    <t>Клей-олівець 8г</t>
  </si>
  <si>
    <t>4.</t>
  </si>
  <si>
    <t>Оплата послуг (крім комунальних)</t>
  </si>
  <si>
    <t>4.1</t>
  </si>
  <si>
    <t>Перезарядка спеціальних тонер-картриджів збільшеної ємності</t>
  </si>
  <si>
    <t>посл.</t>
  </si>
  <si>
    <t>Відновлення тонер-картриджів</t>
  </si>
  <si>
    <t>4.2</t>
  </si>
  <si>
    <t>Відшкодування експлуатаційних витрат</t>
  </si>
  <si>
    <t>Відшкодування експлуатаційних витрат (30 м.кв.*18,00 грн*12 міс)</t>
  </si>
  <si>
    <t>м.кв</t>
  </si>
  <si>
    <t>4.3</t>
  </si>
  <si>
    <t>Послуги навчання</t>
  </si>
  <si>
    <t>З питань охорони праці</t>
  </si>
  <si>
    <t>З питань пожежної безпеки</t>
  </si>
  <si>
    <t>Правила електробезпеки</t>
  </si>
  <si>
    <t>4.4</t>
  </si>
  <si>
    <t>Телекомунікаційні послуги</t>
  </si>
  <si>
    <t>міс.</t>
  </si>
  <si>
    <t xml:space="preserve">Налаштування обладнання </t>
  </si>
  <si>
    <t>Оплата комунальних послуг та енергоносіїв</t>
  </si>
  <si>
    <t>5.1</t>
  </si>
  <si>
    <t>Оплата теплопостачання</t>
  </si>
  <si>
    <t>Теплопостачання</t>
  </si>
  <si>
    <t>Гкал</t>
  </si>
  <si>
    <t>УСЬОГО</t>
  </si>
  <si>
    <t xml:space="preserve">Начальник ЮКП  “МУНІЦИПАЛЬНА ВАРТА”  </t>
  </si>
  <si>
    <t>___________________    Володимир ПАНЧЕНКО</t>
  </si>
  <si>
    <t>Бухгалтер</t>
  </si>
  <si>
    <t>Економіст</t>
  </si>
  <si>
    <t>Контейнер з чорнилом (70мл)</t>
  </si>
  <si>
    <r>
      <t xml:space="preserve">Затверджений у сумі:Три мільйони вісімсот сорк тисяч шістсот шістдесят дві грівні 00 копійок </t>
    </r>
    <r>
      <rPr>
        <b/>
        <sz val="12"/>
        <rFont val="Times New Roman"/>
        <family val="1"/>
        <charset val="204"/>
      </rPr>
      <t xml:space="preserve">3 840 662 </t>
    </r>
    <r>
      <rPr>
        <sz val="12"/>
        <rFont val="Times New Roman"/>
        <family val="1"/>
        <charset val="204"/>
      </rPr>
      <t>грн.</t>
    </r>
  </si>
  <si>
    <t xml:space="preserve">Южненський міський голова                                                                                        Одеського району Одеської області
</t>
  </si>
  <si>
    <t>                             (сума словами і цифрами)</t>
  </si>
  <si>
    <t>                                    (посада)</t>
  </si>
  <si>
    <t xml:space="preserve">В.о.начальника ЮКП  “Муніципальна варта”   </t>
  </si>
  <si>
    <t>                                        (посада)</t>
  </si>
  <si>
    <t xml:space="preserve">                               2022р.</t>
  </si>
  <si>
    <t xml:space="preserve">                                 Борис ШЕВЧЕНКО</t>
  </si>
  <si>
    <t>         М. П.</t>
  </si>
  <si>
    <t xml:space="preserve">  (підпис)                </t>
  </si>
  <si>
    <t xml:space="preserve">                        2022р..</t>
  </si>
  <si>
    <t>                 М. П.</t>
  </si>
  <si>
    <t xml:space="preserve"> ЮЖНЕНСЬКОГО КОМУНАЛЬНОГО ПІДПРИЄМСТВА "МУНІЦИПАЛЬНА ВАРТА"       </t>
  </si>
  <si>
    <t>Середньомісячна зарплата за місяць</t>
  </si>
  <si>
    <t>січень</t>
  </si>
  <si>
    <t>лютий</t>
  </si>
  <si>
    <t>березень</t>
  </si>
  <si>
    <t>квітень</t>
  </si>
  <si>
    <t>травень</t>
  </si>
  <si>
    <t>червень</t>
  </si>
  <si>
    <t>липень</t>
  </si>
  <si>
    <t>серпень</t>
  </si>
  <si>
    <t>вересень</t>
  </si>
  <si>
    <t>жовтень</t>
  </si>
  <si>
    <t>листопад</t>
  </si>
  <si>
    <t>грудень</t>
  </si>
  <si>
    <t>Фонд преміювання</t>
  </si>
  <si>
    <t>шт.</t>
  </si>
  <si>
    <t>Папка  Справа А4 + картон</t>
  </si>
  <si>
    <t>Скоби для степлера № 10/5</t>
  </si>
  <si>
    <t>Клей-олівець  8 г</t>
  </si>
  <si>
    <t>Відновлення та заправка картриджів</t>
  </si>
  <si>
    <t xml:space="preserve">Відшкодування експлуатаційних витрат </t>
  </si>
  <si>
    <t>Відшкодування експлуатаційних витрат (30 м.кв*18,00 грн.*12міс)</t>
  </si>
  <si>
    <t>м.кв.</t>
  </si>
  <si>
    <t xml:space="preserve">Телекомунікаційні послуги </t>
  </si>
  <si>
    <t>Абонплата  згідно тарифу "ІНТЕРНЕТ ДЛЯ БІЗНЕСУ 100" швидкість 100/100 Мбіт/с</t>
  </si>
  <si>
    <t xml:space="preserve">Постійна IР-адреса </t>
  </si>
  <si>
    <t>5</t>
  </si>
  <si>
    <t xml:space="preserve">Плата за абонентське обслуговування          </t>
  </si>
  <si>
    <t>УСЬОГО:</t>
  </si>
  <si>
    <t xml:space="preserve">Начальник  ЮКП «МУНІЦИПАЛЬНА ВАРТА»  </t>
  </si>
  <si>
    <t>Володимир ПАНЧЕНКО</t>
  </si>
  <si>
    <t xml:space="preserve">(підпис)                 </t>
  </si>
  <si>
    <t xml:space="preserve">(підпис)               </t>
  </si>
  <si>
    <t>Олена ГУСИНІНА</t>
  </si>
  <si>
    <t xml:space="preserve">ЗАГАЛЬНИЙ ФОНД </t>
  </si>
  <si>
    <t xml:space="preserve">КЕКВ </t>
  </si>
  <si>
    <t xml:space="preserve">ФОП на 2024 рік </t>
  </si>
  <si>
    <t xml:space="preserve"> «Субсидії та поточні трансферти підприємствам (установам, організаціям)»</t>
  </si>
  <si>
    <t>флак</t>
  </si>
  <si>
    <t xml:space="preserve">Папір А4 500 арк. </t>
  </si>
  <si>
    <t>пач</t>
  </si>
  <si>
    <t>Папка-регистратор А4 50 мм</t>
  </si>
  <si>
    <t>Папка-регистратор А4 75 мм</t>
  </si>
  <si>
    <t>паков</t>
  </si>
  <si>
    <t>3.2</t>
  </si>
  <si>
    <t>Спецодяг</t>
  </si>
  <si>
    <t>Костюм тактичний літній</t>
  </si>
  <si>
    <t>к-т</t>
  </si>
  <si>
    <t>Костюм тактичний зимовий</t>
  </si>
  <si>
    <t>Кофта флісова</t>
  </si>
  <si>
    <t>Шапка-феска трикотаж</t>
  </si>
  <si>
    <t xml:space="preserve">Футболка поло </t>
  </si>
  <si>
    <t>Бейсболка</t>
  </si>
  <si>
    <t xml:space="preserve">Ремінь тактичний </t>
  </si>
  <si>
    <t xml:space="preserve">Шеврони </t>
  </si>
  <si>
    <t>3.3</t>
  </si>
  <si>
    <t>Спецвзуття</t>
  </si>
  <si>
    <t>Кросівки тактичні</t>
  </si>
  <si>
    <t>пар</t>
  </si>
  <si>
    <t>Черевики з високими берцами</t>
  </si>
  <si>
    <t>3.4</t>
  </si>
  <si>
    <t>Поштові товари</t>
  </si>
  <si>
    <t>Стандартна марка з номіналом «U»</t>
  </si>
  <si>
    <t>Конверт С4 (229*324мм) з підказом</t>
  </si>
  <si>
    <t>Конверт С4 крафт (229*324мм) з розширенням по бокам</t>
  </si>
  <si>
    <t>Перезарядка тонер-картриджів стандартної ємності</t>
  </si>
  <si>
    <t>Технічне обслуговування копіювальних апаратів та принтерів</t>
  </si>
  <si>
    <t xml:space="preserve">Абонплата згідно тарифу «ІНТЕРНЕТ ДЛЯ БІЗНЕСУ 100» швидкість 100/100 Мбіт/с </t>
  </si>
  <si>
    <t>Постійна ІР-адреса</t>
  </si>
  <si>
    <t>5.</t>
  </si>
  <si>
    <t>Плата за абонентське обслуговування</t>
  </si>
  <si>
    <t>_____________________ Людмила ФЕДОРОВА</t>
  </si>
  <si>
    <t>_____________________ Олена ГУСИНІНА</t>
  </si>
  <si>
    <t xml:space="preserve">Розрахунок  до фінансового плану на 2024 рік                              </t>
  </si>
  <si>
    <t>ПОГОДЖЕНО</t>
  </si>
  <si>
    <t>ЗАТВЕРДЖЕНО</t>
  </si>
  <si>
    <t>Южненський міський голова Одеського району Одеської області</t>
  </si>
  <si>
    <t>Начальник ЮКП "МУНІЦИПАЛЬНА ВАРТА"</t>
  </si>
  <si>
    <t>Володимир НОВАЦЬКИЙ</t>
  </si>
  <si>
    <t xml:space="preserve">                           Володимир ПАНЧЕНКО</t>
  </si>
  <si>
    <t>___________</t>
  </si>
  <si>
    <t>___________________________________2024р.</t>
  </si>
  <si>
    <t>2024р.</t>
  </si>
  <si>
    <t>з 01.01.2024 по 31.12.2024 рік</t>
  </si>
  <si>
    <t>прож.мінім.</t>
  </si>
  <si>
    <t>Найменування посади</t>
  </si>
  <si>
    <t>Код</t>
  </si>
  <si>
    <t xml:space="preserve">Кількість штатних одиниць </t>
  </si>
  <si>
    <t>Коефіцієнт співвідношення до мінімальної тарифної ставки робітника 1 розряду</t>
  </si>
  <si>
    <t>Посадовий оклад (тарифна ставка)</t>
  </si>
  <si>
    <t>Надбавка за виконання особливо важливої роботи на певний термін (до 50 %)</t>
  </si>
  <si>
    <t>Відповідно до ст.108 КЗпП</t>
  </si>
  <si>
    <t xml:space="preserve">Премія щомісячна, </t>
  </si>
  <si>
    <t>Фонд оплати праці  за посадами        (в місяць на 1 шт.од.)</t>
  </si>
  <si>
    <t>Фонд оплати праці  за посадами на місяць</t>
  </si>
  <si>
    <t>Фонд оплати праці всього за період з 01.01.2024 по 31.12.2024</t>
  </si>
  <si>
    <t>Матеріальна допомога на оздоровлення</t>
  </si>
  <si>
    <t>Фонд оплати праці всього, у т.ч. матеріальна допомога на оздоровлення за період з 01.01.2024 по 31.12.2024</t>
  </si>
  <si>
    <t>Коефіцієнт робітника    1 розряду</t>
  </si>
  <si>
    <t>Коефіцієнт за видами робіт</t>
  </si>
  <si>
    <t>Коефіцієнт за професією/ розрядом</t>
  </si>
  <si>
    <t xml:space="preserve"> Нічні що місячно</t>
  </si>
  <si>
    <t>9                                     (7*8)</t>
  </si>
  <si>
    <t>12                           (7*11)</t>
  </si>
  <si>
    <t>13                           (7+9+10+12)</t>
  </si>
  <si>
    <t xml:space="preserve">    14                                                  (3*13)</t>
  </si>
  <si>
    <t>15                                      (14*12 міс)</t>
  </si>
  <si>
    <t>17                                 (15+16)</t>
  </si>
  <si>
    <t>%</t>
  </si>
  <si>
    <t xml:space="preserve">Начальник </t>
  </si>
  <si>
    <t>1210.1</t>
  </si>
  <si>
    <t>Згідно контракту</t>
  </si>
  <si>
    <t>Бухгалтер ( з дипломом спеціаліста)</t>
  </si>
  <si>
    <t>2411.2</t>
  </si>
  <si>
    <t>Юрисконсульт</t>
  </si>
  <si>
    <t>Всього:</t>
  </si>
  <si>
    <t>Відділ інспекції з благоустрою</t>
  </si>
  <si>
    <t xml:space="preserve">Начальник відділу </t>
  </si>
  <si>
    <t>5-50</t>
  </si>
  <si>
    <t xml:space="preserve">Інспектор </t>
  </si>
  <si>
    <t xml:space="preserve">Всього відділ інспекції з благоустрою: </t>
  </si>
  <si>
    <t>Відділ муніципальної охорони (безпеки)</t>
  </si>
  <si>
    <t xml:space="preserve">Начальник відділу  </t>
  </si>
  <si>
    <t xml:space="preserve">Інспектор                                </t>
  </si>
  <si>
    <t>Інженер з охорони праці</t>
  </si>
  <si>
    <t>2149.2</t>
  </si>
  <si>
    <t xml:space="preserve">Всього відділ муніципальної охорони (безпеки):            </t>
  </si>
  <si>
    <t>Всього по підприємству:</t>
  </si>
  <si>
    <t>Всього з 01.01.2024р. по 31.12.2024р.</t>
  </si>
  <si>
    <t>Матеріальна допомога на оздоровлення з 01.01.2024р. по 31.12.2024р.</t>
  </si>
  <si>
    <t>Нарахування ЄСВ, 22% з 01.01.2024р. по 31.12.2024р.</t>
  </si>
  <si>
    <t>РАЗОМ з 01.01.2024р. по 31.12.2024р.</t>
  </si>
  <si>
    <t>Начальник ЮКП «МУНІЦИПАЛЬНА ВАРТА»</t>
  </si>
  <si>
    <t>Людмила ФЕДОРОВА</t>
  </si>
  <si>
    <t>Розрахунок фонду оплати праці  ЮЖНЕНСЬКОГО КОМУНАЛЬНОГО ПІДПРИЄМСТВА "МУНІЦИПАЛЬНА ВАРТА"</t>
  </si>
  <si>
    <t>Помісячний розрахунок до ФІНАНСОВОГО ПЛАНУ на 2024 рік</t>
  </si>
  <si>
    <t>Папка-регистратор А4 50мм</t>
  </si>
  <si>
    <t>Папка-регистратор А4  75мм</t>
  </si>
  <si>
    <t xml:space="preserve"> Людмила ФЕДОРОВА</t>
  </si>
  <si>
    <t xml:space="preserve">ЮКП "МУНІЦИПАЛЬНА ВАРТА" НА 2024 рік </t>
  </si>
  <si>
    <t>Факт минулого 2022 року</t>
  </si>
  <si>
    <t>План поточного 2023 року (усього)</t>
  </si>
  <si>
    <t>Плановий на 2024 рік (усього)</t>
  </si>
  <si>
    <t>з 01.01.2024 р. по 31.12.2024 р.</t>
  </si>
  <si>
    <r>
      <t>Назва підприємства</t>
    </r>
    <r>
      <rPr>
        <sz val="11"/>
        <color rgb="FF000000"/>
        <rFont val="Times New Roman"/>
        <family val="1"/>
        <charset val="204"/>
      </rPr>
      <t xml:space="preserve"> </t>
    </r>
    <r>
      <rPr>
        <b/>
        <u/>
        <sz val="10"/>
        <color rgb="FF000000"/>
        <rFont val="Times New Roman"/>
        <family val="1"/>
        <charset val="204"/>
      </rPr>
      <t>ЮЖНЕНСЬКЕ КОМУНАЛЬНЕ ПІДПРИЄМСТВО «МУНІЦИПАЛЬНА</t>
    </r>
    <r>
      <rPr>
        <b/>
        <u/>
        <sz val="11"/>
        <color rgb="FF000000"/>
        <rFont val="Times New Roman"/>
        <family val="1"/>
        <charset val="204"/>
      </rPr>
      <t xml:space="preserve"> </t>
    </r>
    <r>
      <rPr>
        <b/>
        <u/>
        <sz val="10"/>
        <color rgb="FF000000"/>
        <rFont val="Times New Roman"/>
        <family val="1"/>
        <charset val="204"/>
      </rPr>
      <t>ВАРТА»</t>
    </r>
  </si>
  <si>
    <r>
      <t xml:space="preserve">Прожитковий мінімум – 3 028,00 грн.                     </t>
    </r>
    <r>
      <rPr>
        <sz val="8"/>
        <color rgb="FF000000"/>
        <rFont val="Times New Roman"/>
        <family val="1"/>
        <charset val="204"/>
      </rPr>
      <t xml:space="preserve"> (назва комунального  підприємства)</t>
    </r>
  </si>
  <si>
    <t>Назва структурного підрозділу та посад</t>
  </si>
  <si>
    <t>Код за класіфікатором професії</t>
  </si>
  <si>
    <t>Розряд</t>
  </si>
  <si>
    <t>Кількість штатних одиниць</t>
  </si>
  <si>
    <t xml:space="preserve">Фонд заробітної плати на місяць, (грн.) </t>
  </si>
  <si>
    <t>Коефіцієнт робітника 1 розряду</t>
  </si>
  <si>
    <t>1.1</t>
  </si>
  <si>
    <t>згідно контракту</t>
  </si>
  <si>
    <t>1.2</t>
  </si>
  <si>
    <t>Бухгалтер (з дипломом спеціаліст)</t>
  </si>
  <si>
    <t>1.3</t>
  </si>
  <si>
    <t>1.4</t>
  </si>
  <si>
    <t>Усього:</t>
  </si>
  <si>
    <t>2.1</t>
  </si>
  <si>
    <t>Начальник відділу</t>
  </si>
  <si>
    <t>2.2</t>
  </si>
  <si>
    <t>Інспектор</t>
  </si>
  <si>
    <t>Усього по відділу інспекції з благоустрою:</t>
  </si>
  <si>
    <t>Усього по відділу муніципальної охорони (безпеки):</t>
  </si>
  <si>
    <t xml:space="preserve">Усього по підприємству: </t>
  </si>
  <si>
    <t>-</t>
  </si>
  <si>
    <t xml:space="preserve">ШТАТНИЙ РОЗПИС на 2024 рік   </t>
  </si>
  <si>
    <t xml:space="preserve">Всього 2024 рік </t>
  </si>
  <si>
    <t>перевірка</t>
  </si>
  <si>
    <t>Фонд соціального розвітку (%)</t>
  </si>
  <si>
    <t>4.5</t>
  </si>
  <si>
    <t>Технічне обслуговування системи відеоспостереження</t>
  </si>
  <si>
    <t>Обслуговування Cloud-платформи системи відеоспостереження</t>
  </si>
  <si>
    <t>Обслуговування каналів зв'язку системи відеоспостереження</t>
  </si>
  <si>
    <t>Обслуговування вузлів відеоспостереження</t>
  </si>
  <si>
    <t xml:space="preserve">ЗМІНИ ДО ФІНАНСОВИЙ ПЛАН КОМУНАЛЬНОГО ПІДПРИЄМСТВА  </t>
  </si>
  <si>
    <t>Сур'єв Іван Костянтинович</t>
  </si>
  <si>
    <t xml:space="preserve">Керуючий справами виконавчого комітету                                                      </t>
  </si>
  <si>
    <t>Владислав ТЕРЕЩЕНКО</t>
  </si>
  <si>
    <t>Додаток                                                                          до рішення виконавчого комітету                      Южненської міської  ради                                       від  27.08.2024  № 1865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</si>
</sst>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&quot;₴&quot;_-;\-* #,##0.00\ &quot;₴&quot;_-;_-* &quot;-&quot;??\ &quot;₴&quot;_-;_-@_-"/>
    <numFmt numFmtId="165" formatCode="0.0"/>
    <numFmt numFmtId="166" formatCode="#,##0.0"/>
    <numFmt numFmtId="167" formatCode="0.000"/>
    <numFmt numFmtId="168" formatCode="#,##0.000"/>
  </numFmts>
  <fonts count="79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i/>
      <sz val="12"/>
      <name val="Arial"/>
      <family val="2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name val="Times New Roman Cyr"/>
      <family val="1"/>
      <charset val="204"/>
    </font>
    <font>
      <i/>
      <sz val="12"/>
      <name val="Times New Roman Cyr"/>
      <family val="1"/>
      <charset val="204"/>
    </font>
    <font>
      <b/>
      <i/>
      <sz val="12"/>
      <name val="Times New Roman Cyr"/>
      <family val="1"/>
      <charset val="204"/>
    </font>
    <font>
      <u/>
      <sz val="12"/>
      <name val="Times New Roman Cyr"/>
      <family val="1"/>
      <charset val="204"/>
    </font>
    <font>
      <i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Arial Cyr"/>
      <family val="2"/>
    </font>
    <font>
      <sz val="12"/>
      <name val="Arial Cyr"/>
      <charset val="204"/>
    </font>
    <font>
      <i/>
      <sz val="12"/>
      <name val="Times New Roman Cyr"/>
      <charset val="204"/>
    </font>
    <font>
      <sz val="12"/>
      <name val="Times New Roman Cyr"/>
      <charset val="204"/>
    </font>
    <font>
      <b/>
      <sz val="16"/>
      <name val="Times New Roman"/>
      <family val="1"/>
      <charset val="204"/>
    </font>
    <font>
      <sz val="13"/>
      <name val="Times New Roman"/>
      <family val="1"/>
      <charset val="204"/>
    </font>
    <font>
      <b/>
      <sz val="12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9"/>
      <color indexed="8"/>
      <name val="Calibri"/>
      <family val="2"/>
      <charset val="204"/>
    </font>
    <font>
      <sz val="8"/>
      <color indexed="8"/>
      <name val="Calibri"/>
      <family val="2"/>
      <charset val="204"/>
    </font>
    <font>
      <sz val="10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sz val="11"/>
      <color theme="1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b/>
      <sz val="13"/>
      <color indexed="8"/>
      <name val="Calibri"/>
      <family val="2"/>
      <charset val="204"/>
    </font>
    <font>
      <sz val="16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Verdana"/>
      <family val="2"/>
      <charset val="204"/>
    </font>
    <font>
      <sz val="9"/>
      <name val="Times New Roman"/>
      <family val="1"/>
      <charset val="204"/>
    </font>
    <font>
      <sz val="11"/>
      <color rgb="FF0000FF"/>
      <name val="Times New Roman"/>
      <family val="1"/>
      <charset val="204"/>
    </font>
    <font>
      <sz val="12"/>
      <color rgb="FF0000FF"/>
      <name val="Times New Roman"/>
      <family val="1"/>
      <charset val="204"/>
    </font>
    <font>
      <sz val="16"/>
      <color rgb="FF0000FF"/>
      <name val="Times New Roman"/>
      <family val="1"/>
      <charset val="204"/>
    </font>
    <font>
      <b/>
      <u/>
      <sz val="18"/>
      <color rgb="FF0000FF"/>
      <name val="Times New Roman"/>
      <family val="1"/>
      <charset val="204"/>
    </font>
    <font>
      <b/>
      <sz val="12"/>
      <color rgb="FF0000FF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i/>
      <sz val="12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rgb="FF0000FF"/>
      <name val="Times New Roman"/>
      <family val="1"/>
      <charset val="204"/>
    </font>
    <font>
      <sz val="14"/>
      <color rgb="FF0000FF"/>
      <name val="Times New Roman"/>
      <family val="1"/>
      <charset val="204"/>
    </font>
    <font>
      <b/>
      <sz val="11"/>
      <color rgb="FF0000FF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8"/>
      <name val="Times New Roman"/>
      <family val="1"/>
      <charset val="204"/>
    </font>
    <font>
      <sz val="11"/>
      <name val="Calibri"/>
      <family val="2"/>
      <charset val="204"/>
    </font>
    <font>
      <sz val="14"/>
      <color indexed="8"/>
      <name val="Times New Roman"/>
      <family val="1"/>
      <charset val="204"/>
    </font>
    <font>
      <sz val="18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b/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1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u/>
      <sz val="12"/>
      <color rgb="FF000000"/>
      <name val="Times New Roman"/>
      <family val="1"/>
      <charset val="204"/>
    </font>
    <font>
      <u/>
      <sz val="11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u/>
      <sz val="10"/>
      <color rgb="FF000000"/>
      <name val="Times New Roman"/>
      <family val="1"/>
      <charset val="204"/>
    </font>
    <font>
      <b/>
      <u/>
      <sz val="11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9FF66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2">
    <xf numFmtId="0" fontId="0" fillId="0" borderId="0"/>
    <xf numFmtId="0" fontId="17" fillId="0" borderId="0"/>
    <xf numFmtId="0" fontId="5" fillId="0" borderId="0"/>
    <xf numFmtId="0" fontId="4" fillId="0" borderId="0"/>
    <xf numFmtId="0" fontId="4" fillId="0" borderId="0"/>
    <xf numFmtId="0" fontId="17" fillId="0" borderId="0"/>
    <xf numFmtId="0" fontId="3" fillId="0" borderId="0"/>
    <xf numFmtId="0" fontId="2" fillId="0" borderId="0"/>
    <xf numFmtId="164" fontId="2" fillId="0" borderId="0" applyFont="0" applyFill="0" applyBorder="0" applyAlignment="0" applyProtection="0"/>
    <xf numFmtId="0" fontId="63" fillId="0" borderId="0" applyNumberFormat="0" applyFill="0" applyBorder="0" applyAlignment="0" applyProtection="0">
      <alignment vertical="top"/>
      <protection locked="0"/>
    </xf>
    <xf numFmtId="9" fontId="2" fillId="0" borderId="0" applyFont="0" applyFill="0" applyBorder="0" applyAlignment="0" applyProtection="0"/>
    <xf numFmtId="0" fontId="1" fillId="0" borderId="0"/>
  </cellStyleXfs>
  <cellXfs count="654">
    <xf numFmtId="0" fontId="0" fillId="0" borderId="0" xfId="0"/>
    <xf numFmtId="0" fontId="11" fillId="0" borderId="1" xfId="0" applyFont="1" applyBorder="1" applyAlignment="1">
      <alignment horizontal="center"/>
    </xf>
    <xf numFmtId="0" fontId="11" fillId="0" borderId="3" xfId="0" applyFont="1" applyBorder="1" applyAlignment="1">
      <alignment horizontal="right"/>
    </xf>
    <xf numFmtId="0" fontId="11" fillId="0" borderId="3" xfId="0" applyFont="1" applyBorder="1"/>
    <xf numFmtId="0" fontId="6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165" fontId="11" fillId="0" borderId="0" xfId="0" applyNumberFormat="1" applyFont="1" applyAlignment="1">
      <alignment horizontal="center"/>
    </xf>
    <xf numFmtId="0" fontId="19" fillId="0" borderId="3" xfId="0" applyFont="1" applyBorder="1" applyAlignment="1">
      <alignment horizontal="center" wrapText="1"/>
    </xf>
    <xf numFmtId="165" fontId="19" fillId="0" borderId="3" xfId="0" applyNumberFormat="1" applyFont="1" applyBorder="1" applyAlignment="1">
      <alignment wrapText="1"/>
    </xf>
    <xf numFmtId="0" fontId="18" fillId="0" borderId="0" xfId="0" applyFont="1"/>
    <xf numFmtId="165" fontId="11" fillId="0" borderId="0" xfId="0" applyNumberFormat="1" applyFont="1"/>
    <xf numFmtId="0" fontId="11" fillId="0" borderId="0" xfId="0" applyFont="1"/>
    <xf numFmtId="0" fontId="6" fillId="0" borderId="0" xfId="0" applyFont="1"/>
    <xf numFmtId="0" fontId="11" fillId="0" borderId="0" xfId="0" applyFont="1" applyAlignment="1">
      <alignment horizontal="right"/>
    </xf>
    <xf numFmtId="165" fontId="6" fillId="0" borderId="0" xfId="0" applyNumberFormat="1" applyFont="1"/>
    <xf numFmtId="0" fontId="11" fillId="0" borderId="1" xfId="0" applyFont="1" applyBorder="1" applyAlignment="1">
      <alignment horizontal="left" wrapText="1"/>
    </xf>
    <xf numFmtId="0" fontId="7" fillId="0" borderId="0" xfId="0" applyFont="1"/>
    <xf numFmtId="0" fontId="6" fillId="0" borderId="0" xfId="0" applyFont="1" applyAlignment="1">
      <alignment horizontal="left" wrapText="1"/>
    </xf>
    <xf numFmtId="0" fontId="6" fillId="0" borderId="0" xfId="0" quotePrefix="1" applyFont="1" applyAlignment="1">
      <alignment horizontal="center"/>
    </xf>
    <xf numFmtId="0" fontId="6" fillId="0" borderId="0" xfId="0" quotePrefix="1" applyFont="1" applyAlignment="1">
      <alignment horizontal="center" vertical="center" wrapText="1"/>
    </xf>
    <xf numFmtId="165" fontId="6" fillId="0" borderId="0" xfId="0" applyNumberFormat="1" applyFont="1" applyAlignment="1">
      <alignment vertical="center"/>
    </xf>
    <xf numFmtId="3" fontId="8" fillId="0" borderId="0" xfId="0" applyNumberFormat="1" applyFont="1" applyAlignment="1">
      <alignment vertical="center"/>
    </xf>
    <xf numFmtId="0" fontId="16" fillId="0" borderId="0" xfId="0" applyFont="1" applyAlignment="1">
      <alignment horizontal="center"/>
    </xf>
    <xf numFmtId="165" fontId="16" fillId="0" borderId="0" xfId="0" applyNumberFormat="1" applyFont="1"/>
    <xf numFmtId="0" fontId="18" fillId="0" borderId="0" xfId="0" applyFont="1" applyAlignment="1">
      <alignment horizontal="center"/>
    </xf>
    <xf numFmtId="165" fontId="18" fillId="0" borderId="0" xfId="0" applyNumberFormat="1" applyFont="1"/>
    <xf numFmtId="0" fontId="16" fillId="0" borderId="0" xfId="0" applyFont="1" applyAlignment="1">
      <alignment horizontal="left" vertical="center" wrapText="1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9" fillId="0" borderId="0" xfId="0" applyFont="1"/>
    <xf numFmtId="4" fontId="6" fillId="0" borderId="0" xfId="0" applyNumberFormat="1" applyFont="1"/>
    <xf numFmtId="4" fontId="9" fillId="0" borderId="1" xfId="0" applyNumberFormat="1" applyFont="1" applyBorder="1" applyAlignment="1">
      <alignment horizontal="center" vertical="center"/>
    </xf>
    <xf numFmtId="0" fontId="21" fillId="0" borderId="0" xfId="0" applyFont="1" applyAlignment="1">
      <alignment horizontal="center"/>
    </xf>
    <xf numFmtId="0" fontId="21" fillId="0" borderId="0" xfId="0" applyFont="1"/>
    <xf numFmtId="0" fontId="19" fillId="0" borderId="2" xfId="0" applyFont="1" applyBorder="1" applyAlignment="1">
      <alignment horizontal="center" wrapText="1"/>
    </xf>
    <xf numFmtId="0" fontId="19" fillId="0" borderId="3" xfId="0" applyFont="1" applyBorder="1" applyAlignment="1">
      <alignment wrapText="1"/>
    </xf>
    <xf numFmtId="0" fontId="11" fillId="0" borderId="1" xfId="0" applyFont="1" applyBorder="1"/>
    <xf numFmtId="0" fontId="6" fillId="0" borderId="0" xfId="0" applyFont="1" applyAlignment="1">
      <alignment horizontal="left"/>
    </xf>
    <xf numFmtId="0" fontId="16" fillId="0" borderId="10" xfId="0" applyFont="1" applyBorder="1" applyAlignment="1">
      <alignment horizontal="left" wrapText="1"/>
    </xf>
    <xf numFmtId="0" fontId="16" fillId="0" borderId="11" xfId="0" quotePrefix="1" applyFont="1" applyBorder="1" applyAlignment="1">
      <alignment horizontal="center" vertical="center"/>
    </xf>
    <xf numFmtId="4" fontId="16" fillId="0" borderId="12" xfId="0" applyNumberFormat="1" applyFont="1" applyBorder="1" applyAlignment="1">
      <alignment horizontal="center" vertical="center"/>
    </xf>
    <xf numFmtId="4" fontId="16" fillId="0" borderId="12" xfId="0" applyNumberFormat="1" applyFont="1" applyBorder="1" applyAlignment="1">
      <alignment horizontal="right" vertical="center"/>
    </xf>
    <xf numFmtId="4" fontId="16" fillId="0" borderId="13" xfId="0" applyNumberFormat="1" applyFont="1" applyBorder="1" applyAlignment="1">
      <alignment horizontal="right" vertical="center"/>
    </xf>
    <xf numFmtId="0" fontId="16" fillId="0" borderId="14" xfId="0" applyFont="1" applyBorder="1" applyAlignment="1">
      <alignment horizontal="left"/>
    </xf>
    <xf numFmtId="0" fontId="16" fillId="0" borderId="15" xfId="0" quotePrefix="1" applyFont="1" applyBorder="1" applyAlignment="1">
      <alignment horizontal="center" vertical="center"/>
    </xf>
    <xf numFmtId="4" fontId="16" fillId="0" borderId="1" xfId="0" applyNumberFormat="1" applyFont="1" applyBorder="1" applyAlignment="1">
      <alignment horizontal="center" vertical="center"/>
    </xf>
    <xf numFmtId="4" fontId="16" fillId="0" borderId="1" xfId="0" applyNumberFormat="1" applyFont="1" applyBorder="1" applyAlignment="1">
      <alignment horizontal="right" vertical="center"/>
    </xf>
    <xf numFmtId="4" fontId="16" fillId="0" borderId="8" xfId="0" applyNumberFormat="1" applyFont="1" applyBorder="1" applyAlignment="1">
      <alignment horizontal="right" vertical="center"/>
    </xf>
    <xf numFmtId="0" fontId="16" fillId="0" borderId="14" xfId="0" applyFont="1" applyBorder="1" applyAlignment="1">
      <alignment horizontal="left" wrapText="1"/>
    </xf>
    <xf numFmtId="0" fontId="9" fillId="0" borderId="14" xfId="0" applyFont="1" applyBorder="1" applyAlignment="1">
      <alignment horizontal="left" wrapText="1"/>
    </xf>
    <xf numFmtId="4" fontId="9" fillId="0" borderId="1" xfId="0" applyNumberFormat="1" applyFont="1" applyBorder="1" applyAlignment="1">
      <alignment horizontal="right" vertical="center"/>
    </xf>
    <xf numFmtId="0" fontId="16" fillId="0" borderId="15" xfId="0" quotePrefix="1" applyFont="1" applyBorder="1" applyAlignment="1">
      <alignment horizontal="center"/>
    </xf>
    <xf numFmtId="0" fontId="16" fillId="3" borderId="18" xfId="0" quotePrefix="1" applyFont="1" applyFill="1" applyBorder="1" applyAlignment="1">
      <alignment horizontal="center"/>
    </xf>
    <xf numFmtId="4" fontId="9" fillId="3" borderId="19" xfId="0" applyNumberFormat="1" applyFont="1" applyFill="1" applyBorder="1" applyAlignment="1">
      <alignment horizontal="center" vertical="center"/>
    </xf>
    <xf numFmtId="4" fontId="9" fillId="3" borderId="19" xfId="0" applyNumberFormat="1" applyFont="1" applyFill="1" applyBorder="1" applyAlignment="1">
      <alignment horizontal="right" vertical="center"/>
    </xf>
    <xf numFmtId="4" fontId="9" fillId="3" borderId="20" xfId="0" applyNumberFormat="1" applyFont="1" applyFill="1" applyBorder="1" applyAlignment="1">
      <alignment horizontal="right" vertical="center"/>
    </xf>
    <xf numFmtId="4" fontId="9" fillId="0" borderId="8" xfId="0" applyNumberFormat="1" applyFont="1" applyBorder="1" applyAlignment="1">
      <alignment horizontal="right" vertical="center"/>
    </xf>
    <xf numFmtId="0" fontId="9" fillId="0" borderId="15" xfId="0" quotePrefix="1" applyFont="1" applyBorder="1" applyAlignment="1">
      <alignment horizontal="center" vertical="center"/>
    </xf>
    <xf numFmtId="4" fontId="10" fillId="0" borderId="1" xfId="0" applyNumberFormat="1" applyFont="1" applyBorder="1" applyAlignment="1">
      <alignment horizontal="center" vertical="center"/>
    </xf>
    <xf numFmtId="4" fontId="10" fillId="0" borderId="1" xfId="0" applyNumberFormat="1" applyFont="1" applyBorder="1" applyAlignment="1">
      <alignment horizontal="right" vertical="center"/>
    </xf>
    <xf numFmtId="4" fontId="10" fillId="0" borderId="8" xfId="0" applyNumberFormat="1" applyFont="1" applyBorder="1" applyAlignment="1">
      <alignment horizontal="right" vertical="center"/>
    </xf>
    <xf numFmtId="4" fontId="16" fillId="0" borderId="22" xfId="0" applyNumberFormat="1" applyFont="1" applyBorder="1" applyAlignment="1">
      <alignment horizontal="right" vertical="center"/>
    </xf>
    <xf numFmtId="4" fontId="16" fillId="0" borderId="1" xfId="0" applyNumberFormat="1" applyFont="1" applyBorder="1" applyAlignment="1">
      <alignment horizontal="right"/>
    </xf>
    <xf numFmtId="4" fontId="9" fillId="0" borderId="5" xfId="0" applyNumberFormat="1" applyFont="1" applyBorder="1" applyAlignment="1">
      <alignment horizontal="center" vertical="center"/>
    </xf>
    <xf numFmtId="4" fontId="9" fillId="0" borderId="5" xfId="0" applyNumberFormat="1" applyFont="1" applyBorder="1" applyAlignment="1">
      <alignment horizontal="right" vertical="center"/>
    </xf>
    <xf numFmtId="4" fontId="16" fillId="0" borderId="5" xfId="0" applyNumberFormat="1" applyFont="1" applyBorder="1" applyAlignment="1">
      <alignment horizontal="right" vertical="center"/>
    </xf>
    <xf numFmtId="0" fontId="16" fillId="0" borderId="11" xfId="0" quotePrefix="1" applyFont="1" applyBorder="1" applyAlignment="1">
      <alignment horizontal="center"/>
    </xf>
    <xf numFmtId="4" fontId="9" fillId="0" borderId="1" xfId="0" applyNumberFormat="1" applyFont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right" vertical="center" wrapText="1"/>
    </xf>
    <xf numFmtId="4" fontId="16" fillId="0" borderId="1" xfId="0" applyNumberFormat="1" applyFont="1" applyBorder="1" applyAlignment="1">
      <alignment horizontal="right" vertical="center" wrapText="1"/>
    </xf>
    <xf numFmtId="4" fontId="16" fillId="0" borderId="8" xfId="0" applyNumberFormat="1" applyFont="1" applyBorder="1" applyAlignment="1">
      <alignment horizontal="right" vertical="center" wrapText="1"/>
    </xf>
    <xf numFmtId="4" fontId="16" fillId="0" borderId="1" xfId="0" applyNumberFormat="1" applyFont="1" applyBorder="1" applyAlignment="1">
      <alignment horizontal="center" vertical="center" wrapText="1"/>
    </xf>
    <xf numFmtId="4" fontId="16" fillId="0" borderId="1" xfId="0" applyNumberFormat="1" applyFont="1" applyBorder="1" applyAlignment="1">
      <alignment horizontal="center" wrapText="1"/>
    </xf>
    <xf numFmtId="0" fontId="9" fillId="0" borderId="16" xfId="0" applyFont="1" applyBorder="1" applyAlignment="1">
      <alignment horizontal="left" wrapText="1"/>
    </xf>
    <xf numFmtId="4" fontId="9" fillId="0" borderId="1" xfId="0" applyNumberFormat="1" applyFont="1" applyBorder="1" applyAlignment="1">
      <alignment horizontal="center" wrapText="1"/>
    </xf>
    <xf numFmtId="0" fontId="16" fillId="0" borderId="7" xfId="0" quotePrefix="1" applyFont="1" applyBorder="1" applyAlignment="1">
      <alignment horizontal="center"/>
    </xf>
    <xf numFmtId="4" fontId="16" fillId="0" borderId="24" xfId="0" applyNumberFormat="1" applyFont="1" applyBorder="1" applyAlignment="1">
      <alignment horizontal="right" vertical="center" wrapText="1"/>
    </xf>
    <xf numFmtId="4" fontId="16" fillId="0" borderId="25" xfId="0" applyNumberFormat="1" applyFont="1" applyBorder="1" applyAlignment="1">
      <alignment horizontal="right" vertical="center" wrapText="1"/>
    </xf>
    <xf numFmtId="4" fontId="16" fillId="0" borderId="6" xfId="0" applyNumberFormat="1" applyFont="1" applyBorder="1" applyAlignment="1">
      <alignment horizontal="right" vertical="center" wrapText="1"/>
    </xf>
    <xf numFmtId="0" fontId="9" fillId="0" borderId="8" xfId="0" applyFont="1" applyBorder="1" applyAlignment="1">
      <alignment horizontal="center" wrapText="1"/>
    </xf>
    <xf numFmtId="166" fontId="16" fillId="0" borderId="5" xfId="0" applyNumberFormat="1" applyFont="1" applyBorder="1" applyAlignment="1">
      <alignment horizontal="center" wrapText="1"/>
    </xf>
    <xf numFmtId="165" fontId="9" fillId="0" borderId="5" xfId="0" applyNumberFormat="1" applyFont="1" applyBorder="1" applyAlignment="1">
      <alignment horizontal="right" wrapText="1"/>
    </xf>
    <xf numFmtId="0" fontId="9" fillId="0" borderId="5" xfId="0" applyFont="1" applyBorder="1" applyAlignment="1">
      <alignment horizontal="center" wrapText="1"/>
    </xf>
    <xf numFmtId="4" fontId="16" fillId="0" borderId="24" xfId="0" applyNumberFormat="1" applyFont="1" applyBorder="1" applyAlignment="1">
      <alignment horizontal="center" vertical="center" wrapText="1"/>
    </xf>
    <xf numFmtId="4" fontId="16" fillId="0" borderId="26" xfId="0" applyNumberFormat="1" applyFont="1" applyBorder="1" applyAlignment="1">
      <alignment horizontal="right" vertical="center" wrapText="1"/>
    </xf>
    <xf numFmtId="4" fontId="9" fillId="0" borderId="19" xfId="0" applyNumberFormat="1" applyFont="1" applyBorder="1" applyAlignment="1">
      <alignment horizontal="center" vertical="center"/>
    </xf>
    <xf numFmtId="4" fontId="9" fillId="0" borderId="19" xfId="0" applyNumberFormat="1" applyFont="1" applyBorder="1" applyAlignment="1">
      <alignment horizontal="right" vertical="center"/>
    </xf>
    <xf numFmtId="0" fontId="16" fillId="0" borderId="21" xfId="0" applyFont="1" applyBorder="1" applyAlignment="1">
      <alignment horizontal="left" wrapText="1"/>
    </xf>
    <xf numFmtId="0" fontId="22" fillId="0" borderId="0" xfId="0" applyFont="1" applyAlignment="1">
      <alignment horizontal="left"/>
    </xf>
    <xf numFmtId="4" fontId="21" fillId="0" borderId="0" xfId="0" applyNumberFormat="1" applyFont="1" applyAlignment="1">
      <alignment horizontal="left"/>
    </xf>
    <xf numFmtId="0" fontId="14" fillId="0" borderId="0" xfId="0" applyFont="1" applyAlignment="1">
      <alignment horizontal="left"/>
    </xf>
    <xf numFmtId="0" fontId="11" fillId="0" borderId="0" xfId="0" applyFont="1" applyAlignment="1">
      <alignment horizontal="left" vertical="top"/>
    </xf>
    <xf numFmtId="0" fontId="11" fillId="0" borderId="0" xfId="0" applyFont="1" applyAlignment="1">
      <alignment horizontal="left"/>
    </xf>
    <xf numFmtId="0" fontId="9" fillId="0" borderId="18" xfId="0" applyFont="1" applyBorder="1" applyAlignment="1">
      <alignment horizontal="left"/>
    </xf>
    <xf numFmtId="0" fontId="16" fillId="0" borderId="16" xfId="0" applyFont="1" applyBorder="1" applyAlignment="1">
      <alignment horizontal="left" wrapText="1"/>
    </xf>
    <xf numFmtId="0" fontId="9" fillId="3" borderId="17" xfId="0" applyFont="1" applyFill="1" applyBorder="1" applyAlignment="1">
      <alignment horizontal="left" wrapText="1"/>
    </xf>
    <xf numFmtId="0" fontId="16" fillId="0" borderId="17" xfId="0" applyFont="1" applyBorder="1" applyAlignment="1">
      <alignment horizontal="left" wrapText="1"/>
    </xf>
    <xf numFmtId="0" fontId="10" fillId="0" borderId="17" xfId="0" applyFont="1" applyBorder="1" applyAlignment="1">
      <alignment horizontal="left" wrapText="1"/>
    </xf>
    <xf numFmtId="0" fontId="15" fillId="0" borderId="14" xfId="0" applyFont="1" applyBorder="1" applyAlignment="1">
      <alignment horizontal="left" wrapText="1"/>
    </xf>
    <xf numFmtId="0" fontId="10" fillId="0" borderId="14" xfId="0" applyFont="1" applyBorder="1" applyAlignment="1">
      <alignment horizontal="left" wrapText="1"/>
    </xf>
    <xf numFmtId="0" fontId="16" fillId="0" borderId="0" xfId="0" applyFont="1" applyAlignment="1">
      <alignment horizontal="left" wrapText="1"/>
    </xf>
    <xf numFmtId="0" fontId="9" fillId="0" borderId="0" xfId="0" applyFont="1" applyAlignment="1">
      <alignment horizontal="left" vertical="center"/>
    </xf>
    <xf numFmtId="4" fontId="9" fillId="0" borderId="4" xfId="0" applyNumberFormat="1" applyFont="1" applyBorder="1" applyAlignment="1">
      <alignment horizontal="center" vertical="center"/>
    </xf>
    <xf numFmtId="4" fontId="16" fillId="0" borderId="4" xfId="0" applyNumberFormat="1" applyFont="1" applyBorder="1" applyAlignment="1">
      <alignment horizontal="center" vertical="center"/>
    </xf>
    <xf numFmtId="4" fontId="15" fillId="0" borderId="22" xfId="0" applyNumberFormat="1" applyFont="1" applyBorder="1" applyAlignment="1">
      <alignment horizontal="right" vertical="center"/>
    </xf>
    <xf numFmtId="4" fontId="15" fillId="0" borderId="1" xfId="0" applyNumberFormat="1" applyFont="1" applyBorder="1" applyAlignment="1">
      <alignment horizontal="right" vertical="center"/>
    </xf>
    <xf numFmtId="4" fontId="9" fillId="4" borderId="1" xfId="0" applyNumberFormat="1" applyFont="1" applyFill="1" applyBorder="1" applyAlignment="1">
      <alignment horizontal="right" vertical="center"/>
    </xf>
    <xf numFmtId="4" fontId="16" fillId="4" borderId="1" xfId="0" applyNumberFormat="1" applyFont="1" applyFill="1" applyBorder="1" applyAlignment="1">
      <alignment horizontal="right" vertical="center"/>
    </xf>
    <xf numFmtId="4" fontId="16" fillId="0" borderId="8" xfId="0" applyNumberFormat="1" applyFont="1" applyBorder="1" applyAlignment="1">
      <alignment horizontal="center" wrapText="1"/>
    </xf>
    <xf numFmtId="4" fontId="9" fillId="0" borderId="23" xfId="0" applyNumberFormat="1" applyFont="1" applyBorder="1" applyAlignment="1">
      <alignment horizontal="right" vertical="center"/>
    </xf>
    <xf numFmtId="0" fontId="16" fillId="0" borderId="41" xfId="0" applyFont="1" applyBorder="1" applyAlignment="1">
      <alignment horizontal="left" wrapText="1"/>
    </xf>
    <xf numFmtId="4" fontId="9" fillId="0" borderId="24" xfId="0" applyNumberFormat="1" applyFont="1" applyBorder="1" applyAlignment="1">
      <alignment horizontal="center" vertical="center"/>
    </xf>
    <xf numFmtId="4" fontId="9" fillId="0" borderId="24" xfId="0" applyNumberFormat="1" applyFont="1" applyBorder="1" applyAlignment="1">
      <alignment horizontal="right" vertical="center"/>
    </xf>
    <xf numFmtId="4" fontId="9" fillId="0" borderId="25" xfId="0" applyNumberFormat="1" applyFont="1" applyBorder="1" applyAlignment="1">
      <alignment horizontal="right" vertical="center"/>
    </xf>
    <xf numFmtId="4" fontId="10" fillId="0" borderId="5" xfId="0" applyNumberFormat="1" applyFont="1" applyBorder="1" applyAlignment="1">
      <alignment horizontal="right" vertical="center"/>
    </xf>
    <xf numFmtId="4" fontId="10" fillId="0" borderId="23" xfId="0" applyNumberFormat="1" applyFont="1" applyBorder="1" applyAlignment="1">
      <alignment horizontal="right" vertical="center"/>
    </xf>
    <xf numFmtId="0" fontId="16" fillId="0" borderId="43" xfId="0" applyFont="1" applyBorder="1" applyAlignment="1">
      <alignment horizontal="left" wrapText="1"/>
    </xf>
    <xf numFmtId="0" fontId="9" fillId="0" borderId="44" xfId="0" applyFont="1" applyBorder="1" applyAlignment="1">
      <alignment horizontal="left" wrapText="1"/>
    </xf>
    <xf numFmtId="0" fontId="9" fillId="0" borderId="41" xfId="0" applyFont="1" applyBorder="1" applyAlignment="1">
      <alignment horizontal="left" vertical="center" wrapText="1"/>
    </xf>
    <xf numFmtId="4" fontId="16" fillId="0" borderId="23" xfId="0" applyNumberFormat="1" applyFont="1" applyBorder="1" applyAlignment="1">
      <alignment horizontal="right" vertical="center"/>
    </xf>
    <xf numFmtId="166" fontId="9" fillId="0" borderId="1" xfId="0" applyNumberFormat="1" applyFont="1" applyBorder="1" applyAlignment="1">
      <alignment horizontal="center" vertical="center"/>
    </xf>
    <xf numFmtId="0" fontId="44" fillId="0" borderId="0" xfId="3" applyFont="1"/>
    <xf numFmtId="0" fontId="45" fillId="0" borderId="0" xfId="3" applyFont="1"/>
    <xf numFmtId="0" fontId="16" fillId="0" borderId="0" xfId="3" applyFont="1"/>
    <xf numFmtId="0" fontId="16" fillId="0" borderId="0" xfId="3" applyFont="1" applyAlignment="1">
      <alignment wrapText="1"/>
    </xf>
    <xf numFmtId="0" fontId="46" fillId="0" borderId="3" xfId="3" applyFont="1" applyBorder="1" applyAlignment="1">
      <alignment horizontal="left" vertical="top" wrapText="1"/>
    </xf>
    <xf numFmtId="0" fontId="4" fillId="0" borderId="0" xfId="3"/>
    <xf numFmtId="1" fontId="16" fillId="0" borderId="0" xfId="4" applyNumberFormat="1" applyFont="1" applyAlignment="1">
      <alignment horizontal="center" vertical="top" wrapText="1"/>
    </xf>
    <xf numFmtId="0" fontId="16" fillId="0" borderId="3" xfId="3" applyFont="1" applyBorder="1"/>
    <xf numFmtId="0" fontId="16" fillId="0" borderId="0" xfId="3" applyFont="1" applyAlignment="1">
      <alignment horizontal="left"/>
    </xf>
    <xf numFmtId="2" fontId="45" fillId="0" borderId="0" xfId="3" applyNumberFormat="1" applyFont="1"/>
    <xf numFmtId="2" fontId="16" fillId="0" borderId="0" xfId="3" applyNumberFormat="1" applyFont="1"/>
    <xf numFmtId="4" fontId="33" fillId="3" borderId="1" xfId="3" applyNumberFormat="1" applyFont="1" applyFill="1" applyBorder="1" applyAlignment="1">
      <alignment horizontal="center" vertical="center"/>
    </xf>
    <xf numFmtId="0" fontId="4" fillId="3" borderId="0" xfId="3" applyFill="1"/>
    <xf numFmtId="4" fontId="33" fillId="3" borderId="1" xfId="3" applyNumberFormat="1" applyFont="1" applyFill="1" applyBorder="1" applyAlignment="1">
      <alignment wrapText="1"/>
    </xf>
    <xf numFmtId="4" fontId="33" fillId="3" borderId="1" xfId="3" applyNumberFormat="1" applyFont="1" applyFill="1" applyBorder="1" applyAlignment="1">
      <alignment horizontal="left" vertical="center" wrapText="1"/>
    </xf>
    <xf numFmtId="4" fontId="49" fillId="3" borderId="1" xfId="3" applyNumberFormat="1" applyFont="1" applyFill="1" applyBorder="1" applyAlignment="1">
      <alignment horizontal="center"/>
    </xf>
    <xf numFmtId="4" fontId="49" fillId="3" borderId="1" xfId="3" applyNumberFormat="1" applyFont="1" applyFill="1" applyBorder="1" applyAlignment="1">
      <alignment horizontal="center" vertical="center"/>
    </xf>
    <xf numFmtId="4" fontId="49" fillId="3" borderId="1" xfId="3" applyNumberFormat="1" applyFont="1" applyFill="1" applyBorder="1" applyAlignment="1">
      <alignment vertical="center"/>
    </xf>
    <xf numFmtId="4" fontId="32" fillId="3" borderId="1" xfId="3" applyNumberFormat="1" applyFont="1" applyFill="1" applyBorder="1" applyAlignment="1">
      <alignment vertical="center"/>
    </xf>
    <xf numFmtId="4" fontId="33" fillId="0" borderId="1" xfId="3" applyNumberFormat="1" applyFont="1" applyBorder="1"/>
    <xf numFmtId="4" fontId="34" fillId="0" borderId="1" xfId="3" applyNumberFormat="1" applyFont="1" applyBorder="1" applyAlignment="1">
      <alignment horizontal="left" wrapText="1"/>
    </xf>
    <xf numFmtId="4" fontId="34" fillId="0" borderId="1" xfId="3" applyNumberFormat="1" applyFont="1" applyBorder="1" applyAlignment="1">
      <alignment horizontal="center" wrapText="1"/>
    </xf>
    <xf numFmtId="3" fontId="31" fillId="0" borderId="1" xfId="3" applyNumberFormat="1" applyFont="1" applyBorder="1" applyAlignment="1">
      <alignment horizontal="center" wrapText="1"/>
    </xf>
    <xf numFmtId="4" fontId="31" fillId="0" borderId="1" xfId="3" applyNumberFormat="1" applyFont="1" applyBorder="1" applyAlignment="1">
      <alignment horizontal="center"/>
    </xf>
    <xf numFmtId="4" fontId="31" fillId="0" borderId="1" xfId="3" applyNumberFormat="1" applyFont="1" applyBorder="1" applyAlignment="1">
      <alignment horizontal="center" vertical="center" wrapText="1"/>
    </xf>
    <xf numFmtId="4" fontId="31" fillId="0" borderId="1" xfId="3" applyNumberFormat="1" applyFont="1" applyBorder="1" applyAlignment="1">
      <alignment horizontal="center" vertical="center"/>
    </xf>
    <xf numFmtId="4" fontId="32" fillId="0" borderId="1" xfId="3" applyNumberFormat="1" applyFont="1" applyBorder="1" applyAlignment="1">
      <alignment horizontal="center" vertical="center"/>
    </xf>
    <xf numFmtId="4" fontId="34" fillId="0" borderId="1" xfId="3" applyNumberFormat="1" applyFont="1" applyBorder="1" applyAlignment="1">
      <alignment horizontal="center" vertical="center" wrapText="1"/>
    </xf>
    <xf numFmtId="3" fontId="31" fillId="0" borderId="1" xfId="3" applyNumberFormat="1" applyFont="1" applyBorder="1" applyAlignment="1">
      <alignment horizontal="center" vertical="center" wrapText="1"/>
    </xf>
    <xf numFmtId="4" fontId="33" fillId="0" borderId="1" xfId="3" applyNumberFormat="1" applyFont="1" applyBorder="1" applyAlignment="1">
      <alignment wrapText="1"/>
    </xf>
    <xf numFmtId="4" fontId="33" fillId="0" borderId="1" xfId="3" applyNumberFormat="1" applyFont="1" applyBorder="1" applyAlignment="1">
      <alignment horizontal="center"/>
    </xf>
    <xf numFmtId="3" fontId="49" fillId="0" borderId="1" xfId="3" applyNumberFormat="1" applyFont="1" applyBorder="1" applyAlignment="1">
      <alignment horizontal="center"/>
    </xf>
    <xf numFmtId="4" fontId="49" fillId="0" borderId="1" xfId="3" applyNumberFormat="1" applyFont="1" applyBorder="1" applyAlignment="1">
      <alignment horizontal="center" vertical="center"/>
    </xf>
    <xf numFmtId="4" fontId="33" fillId="0" borderId="1" xfId="3" applyNumberFormat="1" applyFont="1" applyBorder="1" applyAlignment="1">
      <alignment vertical="center"/>
    </xf>
    <xf numFmtId="4" fontId="33" fillId="0" borderId="1" xfId="3" applyNumberFormat="1" applyFont="1" applyBorder="1" applyAlignment="1">
      <alignment horizontal="center" vertical="center" wrapText="1"/>
    </xf>
    <xf numFmtId="3" fontId="49" fillId="0" borderId="1" xfId="3" applyNumberFormat="1" applyFont="1" applyBorder="1" applyAlignment="1">
      <alignment horizontal="center" vertical="center"/>
    </xf>
    <xf numFmtId="4" fontId="33" fillId="3" borderId="1" xfId="3" applyNumberFormat="1" applyFont="1" applyFill="1" applyBorder="1" applyAlignment="1">
      <alignment vertical="center"/>
    </xf>
    <xf numFmtId="4" fontId="33" fillId="3" borderId="1" xfId="3" applyNumberFormat="1" applyFont="1" applyFill="1" applyBorder="1" applyAlignment="1">
      <alignment vertical="center" wrapText="1"/>
    </xf>
    <xf numFmtId="4" fontId="33" fillId="3" borderId="1" xfId="3" applyNumberFormat="1" applyFont="1" applyFill="1" applyBorder="1" applyAlignment="1">
      <alignment horizontal="center" vertical="center" wrapText="1"/>
    </xf>
    <xf numFmtId="4" fontId="33" fillId="3" borderId="1" xfId="3" applyNumberFormat="1" applyFont="1" applyFill="1" applyBorder="1" applyAlignment="1">
      <alignment horizontal="center"/>
    </xf>
    <xf numFmtId="4" fontId="32" fillId="3" borderId="1" xfId="3" applyNumberFormat="1" applyFont="1" applyFill="1" applyBorder="1" applyAlignment="1">
      <alignment horizontal="center" vertical="center"/>
    </xf>
    <xf numFmtId="4" fontId="34" fillId="0" borderId="1" xfId="3" applyNumberFormat="1" applyFont="1" applyBorder="1" applyAlignment="1">
      <alignment horizontal="center"/>
    </xf>
    <xf numFmtId="4" fontId="33" fillId="3" borderId="1" xfId="3" applyNumberFormat="1" applyFont="1" applyFill="1" applyBorder="1" applyAlignment="1">
      <alignment horizontal="left" wrapText="1"/>
    </xf>
    <xf numFmtId="4" fontId="49" fillId="3" borderId="1" xfId="3" applyNumberFormat="1" applyFont="1" applyFill="1" applyBorder="1" applyAlignment="1">
      <alignment horizontal="center" wrapText="1"/>
    </xf>
    <xf numFmtId="4" fontId="9" fillId="3" borderId="1" xfId="3" applyNumberFormat="1" applyFont="1" applyFill="1" applyBorder="1" applyAlignment="1">
      <alignment horizontal="center"/>
    </xf>
    <xf numFmtId="4" fontId="51" fillId="3" borderId="1" xfId="3" applyNumberFormat="1" applyFont="1" applyFill="1" applyBorder="1" applyAlignment="1">
      <alignment horizontal="left" wrapText="1"/>
    </xf>
    <xf numFmtId="4" fontId="52" fillId="3" borderId="1" xfId="3" applyNumberFormat="1" applyFont="1" applyFill="1" applyBorder="1" applyAlignment="1">
      <alignment horizontal="center" wrapText="1"/>
    </xf>
    <xf numFmtId="3" fontId="31" fillId="0" borderId="1" xfId="3" applyNumberFormat="1" applyFont="1" applyBorder="1" applyAlignment="1">
      <alignment horizontal="center"/>
    </xf>
    <xf numFmtId="4" fontId="31" fillId="0" borderId="1" xfId="1" applyNumberFormat="1" applyFont="1" applyBorder="1" applyAlignment="1">
      <alignment horizontal="center"/>
    </xf>
    <xf numFmtId="4" fontId="34" fillId="0" borderId="1" xfId="3" applyNumberFormat="1" applyFont="1" applyBorder="1" applyAlignment="1">
      <alignment horizontal="left" vertical="center" wrapText="1"/>
    </xf>
    <xf numFmtId="3" fontId="31" fillId="0" borderId="1" xfId="3" applyNumberFormat="1" applyFont="1" applyBorder="1" applyAlignment="1">
      <alignment horizontal="center" vertical="center"/>
    </xf>
    <xf numFmtId="4" fontId="31" fillId="0" borderId="1" xfId="1" applyNumberFormat="1" applyFont="1" applyBorder="1" applyAlignment="1">
      <alignment horizontal="center" vertical="center"/>
    </xf>
    <xf numFmtId="4" fontId="33" fillId="3" borderId="1" xfId="3" applyNumberFormat="1" applyFont="1" applyFill="1" applyBorder="1" applyAlignment="1">
      <alignment horizontal="center" wrapText="1"/>
    </xf>
    <xf numFmtId="4" fontId="49" fillId="3" borderId="1" xfId="1" applyNumberFormat="1" applyFont="1" applyFill="1" applyBorder="1" applyAlignment="1">
      <alignment horizontal="center"/>
    </xf>
    <xf numFmtId="4" fontId="51" fillId="3" borderId="1" xfId="3" applyNumberFormat="1" applyFont="1" applyFill="1" applyBorder="1" applyAlignment="1">
      <alignment wrapText="1"/>
    </xf>
    <xf numFmtId="4" fontId="52" fillId="3" borderId="1" xfId="3" applyNumberFormat="1" applyFont="1" applyFill="1" applyBorder="1" applyAlignment="1">
      <alignment wrapText="1"/>
    </xf>
    <xf numFmtId="4" fontId="49" fillId="3" borderId="1" xfId="3" applyNumberFormat="1" applyFont="1" applyFill="1" applyBorder="1" applyAlignment="1">
      <alignment horizontal="center" vertical="center" wrapText="1"/>
    </xf>
    <xf numFmtId="4" fontId="34" fillId="0" borderId="1" xfId="3" applyNumberFormat="1" applyFont="1" applyBorder="1" applyAlignment="1">
      <alignment horizontal="center" vertical="center"/>
    </xf>
    <xf numFmtId="4" fontId="51" fillId="3" borderId="1" xfId="3" applyNumberFormat="1" applyFont="1" applyFill="1" applyBorder="1"/>
    <xf numFmtId="3" fontId="49" fillId="3" borderId="1" xfId="3" applyNumberFormat="1" applyFont="1" applyFill="1" applyBorder="1" applyAlignment="1">
      <alignment horizontal="center"/>
    </xf>
    <xf numFmtId="4" fontId="31" fillId="0" borderId="1" xfId="3" applyNumberFormat="1" applyFont="1" applyBorder="1" applyAlignment="1">
      <alignment horizontal="center" wrapText="1"/>
    </xf>
    <xf numFmtId="4" fontId="49" fillId="3" borderId="1" xfId="1" applyNumberFormat="1" applyFont="1" applyFill="1" applyBorder="1" applyAlignment="1">
      <alignment horizontal="center" vertical="center"/>
    </xf>
    <xf numFmtId="4" fontId="34" fillId="0" borderId="1" xfId="3" applyNumberFormat="1" applyFont="1" applyBorder="1" applyAlignment="1">
      <alignment wrapText="1"/>
    </xf>
    <xf numFmtId="4" fontId="34" fillId="0" borderId="1" xfId="3" applyNumberFormat="1" applyFont="1" applyBorder="1" applyAlignment="1">
      <alignment vertical="top" wrapText="1"/>
    </xf>
    <xf numFmtId="4" fontId="49" fillId="0" borderId="1" xfId="3" applyNumberFormat="1" applyFont="1" applyBorder="1"/>
    <xf numFmtId="4" fontId="49" fillId="0" borderId="1" xfId="3" applyNumberFormat="1" applyFont="1" applyBorder="1" applyAlignment="1">
      <alignment horizontal="center"/>
    </xf>
    <xf numFmtId="4" fontId="32" fillId="0" borderId="1" xfId="3" applyNumberFormat="1" applyFont="1" applyBorder="1" applyAlignment="1">
      <alignment horizontal="center"/>
    </xf>
    <xf numFmtId="49" fontId="49" fillId="0" borderId="0" xfId="3" applyNumberFormat="1" applyFont="1"/>
    <xf numFmtId="0" fontId="53" fillId="0" borderId="0" xfId="3" applyFont="1"/>
    <xf numFmtId="0" fontId="49" fillId="0" borderId="0" xfId="3" applyFont="1"/>
    <xf numFmtId="0" fontId="33" fillId="0" borderId="0" xfId="3" applyFont="1" applyAlignment="1">
      <alignment horizontal="center"/>
    </xf>
    <xf numFmtId="2" fontId="33" fillId="0" borderId="0" xfId="3" applyNumberFormat="1" applyFont="1" applyAlignment="1">
      <alignment horizontal="center"/>
    </xf>
    <xf numFmtId="2" fontId="9" fillId="0" borderId="0" xfId="3" applyNumberFormat="1" applyFont="1" applyAlignment="1">
      <alignment horizontal="center"/>
    </xf>
    <xf numFmtId="49" fontId="54" fillId="0" borderId="0" xfId="3" applyNumberFormat="1" applyFont="1" applyAlignment="1">
      <alignment horizontal="center"/>
    </xf>
    <xf numFmtId="0" fontId="16" fillId="0" borderId="0" xfId="3" applyFont="1" applyAlignment="1">
      <alignment vertical="center"/>
    </xf>
    <xf numFmtId="2" fontId="9" fillId="0" borderId="0" xfId="3" applyNumberFormat="1" applyFont="1" applyAlignment="1">
      <alignment horizontal="center" vertical="center"/>
    </xf>
    <xf numFmtId="49" fontId="54" fillId="0" borderId="0" xfId="3" applyNumberFormat="1" applyFont="1" applyAlignment="1">
      <alignment horizontal="center" vertical="top"/>
    </xf>
    <xf numFmtId="0" fontId="16" fillId="0" borderId="0" xfId="3" applyFont="1" applyAlignment="1">
      <alignment vertical="top"/>
    </xf>
    <xf numFmtId="2" fontId="16" fillId="0" borderId="0" xfId="3" applyNumberFormat="1" applyFont="1" applyAlignment="1">
      <alignment vertical="top"/>
    </xf>
    <xf numFmtId="2" fontId="9" fillId="0" borderId="0" xfId="3" applyNumberFormat="1" applyFont="1" applyAlignment="1">
      <alignment horizontal="center" vertical="top"/>
    </xf>
    <xf numFmtId="0" fontId="16" fillId="0" borderId="45" xfId="3" applyFont="1" applyBorder="1"/>
    <xf numFmtId="2" fontId="16" fillId="0" borderId="0" xfId="3" applyNumberFormat="1" applyFont="1" applyAlignment="1">
      <alignment vertical="center"/>
    </xf>
    <xf numFmtId="49" fontId="55" fillId="0" borderId="0" xfId="3" applyNumberFormat="1" applyFont="1"/>
    <xf numFmtId="0" fontId="56" fillId="0" borderId="0" xfId="3" applyFont="1" applyAlignment="1">
      <alignment wrapText="1"/>
    </xf>
    <xf numFmtId="0" fontId="55" fillId="0" borderId="0" xfId="3" applyFont="1"/>
    <xf numFmtId="0" fontId="45" fillId="0" borderId="0" xfId="3" applyFont="1" applyAlignment="1">
      <alignment horizontal="center"/>
    </xf>
    <xf numFmtId="167" fontId="48" fillId="0" borderId="0" xfId="3" applyNumberFormat="1" applyFont="1" applyAlignment="1">
      <alignment vertical="center"/>
    </xf>
    <xf numFmtId="2" fontId="48" fillId="0" borderId="0" xfId="3" applyNumberFormat="1" applyFont="1" applyAlignment="1">
      <alignment vertical="center"/>
    </xf>
    <xf numFmtId="2" fontId="9" fillId="0" borderId="0" xfId="3" applyNumberFormat="1" applyFont="1" applyAlignment="1">
      <alignment vertical="center"/>
    </xf>
    <xf numFmtId="2" fontId="45" fillId="0" borderId="0" xfId="3" applyNumberFormat="1" applyFont="1" applyAlignment="1">
      <alignment horizontal="center" vertical="center"/>
    </xf>
    <xf numFmtId="4" fontId="16" fillId="0" borderId="0" xfId="3" applyNumberFormat="1" applyFont="1" applyAlignment="1">
      <alignment vertical="center"/>
    </xf>
    <xf numFmtId="0" fontId="9" fillId="0" borderId="0" xfId="3" applyFont="1"/>
    <xf numFmtId="49" fontId="44" fillId="0" borderId="0" xfId="3" applyNumberFormat="1" applyFont="1" applyAlignment="1">
      <alignment wrapText="1"/>
    </xf>
    <xf numFmtId="0" fontId="55" fillId="0" borderId="0" xfId="3" applyFont="1" applyAlignment="1">
      <alignment horizontal="center"/>
    </xf>
    <xf numFmtId="167" fontId="55" fillId="0" borderId="0" xfId="3" applyNumberFormat="1" applyFont="1"/>
    <xf numFmtId="167" fontId="45" fillId="0" borderId="0" xfId="3" applyNumberFormat="1" applyFont="1" applyAlignment="1">
      <alignment horizontal="center" vertical="center"/>
    </xf>
    <xf numFmtId="167" fontId="16" fillId="0" borderId="0" xfId="3" applyNumberFormat="1" applyFont="1" applyAlignment="1">
      <alignment horizontal="center" vertical="center"/>
    </xf>
    <xf numFmtId="167" fontId="16" fillId="0" borderId="0" xfId="3" applyNumberFormat="1" applyFont="1" applyAlignment="1">
      <alignment vertical="center"/>
    </xf>
    <xf numFmtId="2" fontId="16" fillId="0" borderId="0" xfId="3" applyNumberFormat="1" applyFont="1" applyAlignment="1">
      <alignment horizontal="center" vertical="center"/>
    </xf>
    <xf numFmtId="0" fontId="50" fillId="0" borderId="0" xfId="3" applyFont="1"/>
    <xf numFmtId="0" fontId="57" fillId="0" borderId="0" xfId="3" applyFont="1"/>
    <xf numFmtId="0" fontId="58" fillId="0" borderId="0" xfId="3" applyFont="1"/>
    <xf numFmtId="4" fontId="32" fillId="3" borderId="1" xfId="3" applyNumberFormat="1" applyFont="1" applyFill="1" applyBorder="1" applyAlignment="1">
      <alignment horizontal="center" vertical="center" wrapText="1"/>
    </xf>
    <xf numFmtId="0" fontId="47" fillId="0" borderId="0" xfId="3" applyFont="1" applyAlignment="1">
      <alignment wrapText="1"/>
    </xf>
    <xf numFmtId="0" fontId="41" fillId="0" borderId="3" xfId="3" applyFont="1" applyBorder="1"/>
    <xf numFmtId="0" fontId="41" fillId="0" borderId="0" xfId="3" applyFont="1" applyAlignment="1">
      <alignment vertical="top"/>
    </xf>
    <xf numFmtId="0" fontId="3" fillId="0" borderId="0" xfId="6"/>
    <xf numFmtId="0" fontId="3" fillId="0" borderId="0" xfId="6" applyAlignment="1">
      <alignment horizontal="center" vertical="center"/>
    </xf>
    <xf numFmtId="0" fontId="23" fillId="0" borderId="0" xfId="6" applyFont="1"/>
    <xf numFmtId="0" fontId="24" fillId="0" borderId="0" xfId="6" applyFont="1"/>
    <xf numFmtId="0" fontId="25" fillId="0" borderId="3" xfId="6" applyFont="1" applyBorder="1"/>
    <xf numFmtId="0" fontId="24" fillId="0" borderId="3" xfId="6" applyFont="1" applyBorder="1"/>
    <xf numFmtId="2" fontId="24" fillId="0" borderId="3" xfId="6" applyNumberFormat="1" applyFont="1" applyBorder="1"/>
    <xf numFmtId="0" fontId="26" fillId="0" borderId="0" xfId="6" applyFont="1"/>
    <xf numFmtId="0" fontId="3" fillId="0" borderId="3" xfId="6" applyBorder="1"/>
    <xf numFmtId="0" fontId="26" fillId="0" borderId="3" xfId="6" applyFont="1" applyBorder="1"/>
    <xf numFmtId="14" fontId="27" fillId="0" borderId="3" xfId="6" applyNumberFormat="1" applyFont="1" applyBorder="1"/>
    <xf numFmtId="0" fontId="28" fillId="0" borderId="3" xfId="6" applyFont="1" applyBorder="1"/>
    <xf numFmtId="0" fontId="3" fillId="0" borderId="0" xfId="6" applyAlignment="1">
      <alignment horizontal="center"/>
    </xf>
    <xf numFmtId="0" fontId="31" fillId="0" borderId="0" xfId="6" applyFont="1" applyAlignment="1">
      <alignment vertical="center"/>
    </xf>
    <xf numFmtId="0" fontId="29" fillId="0" borderId="0" xfId="6" applyFont="1"/>
    <xf numFmtId="0" fontId="29" fillId="0" borderId="0" xfId="6" applyFont="1" applyAlignment="1">
      <alignment horizontal="center" vertical="center"/>
    </xf>
    <xf numFmtId="0" fontId="32" fillId="0" borderId="0" xfId="6" applyFont="1" applyAlignment="1">
      <alignment horizontal="center" vertical="center"/>
    </xf>
    <xf numFmtId="0" fontId="30" fillId="0" borderId="0" xfId="6" applyFont="1" applyAlignment="1">
      <alignment horizontal="center" vertical="center" wrapText="1"/>
    </xf>
    <xf numFmtId="0" fontId="34" fillId="0" borderId="0" xfId="6" applyFont="1"/>
    <xf numFmtId="0" fontId="34" fillId="0" borderId="0" xfId="6" applyFont="1" applyAlignment="1">
      <alignment horizontal="left"/>
    </xf>
    <xf numFmtId="0" fontId="34" fillId="0" borderId="0" xfId="6" applyFont="1" applyAlignment="1">
      <alignment horizontal="center" vertical="center"/>
    </xf>
    <xf numFmtId="0" fontId="9" fillId="5" borderId="15" xfId="6" applyFont="1" applyFill="1" applyBorder="1" applyAlignment="1">
      <alignment horizontal="center" vertical="center" wrapText="1"/>
    </xf>
    <xf numFmtId="0" fontId="9" fillId="5" borderId="1" xfId="6" applyFont="1" applyFill="1" applyBorder="1" applyAlignment="1">
      <alignment horizontal="center" vertical="center" wrapText="1"/>
    </xf>
    <xf numFmtId="0" fontId="9" fillId="5" borderId="1" xfId="6" applyFont="1" applyFill="1" applyBorder="1" applyAlignment="1">
      <alignment horizontal="left" vertical="center" wrapText="1"/>
    </xf>
    <xf numFmtId="4" fontId="32" fillId="5" borderId="8" xfId="6" applyNumberFormat="1" applyFont="1" applyFill="1" applyBorder="1" applyAlignment="1">
      <alignment horizontal="center" vertical="center" wrapText="1"/>
    </xf>
    <xf numFmtId="0" fontId="35" fillId="5" borderId="15" xfId="6" applyFont="1" applyFill="1" applyBorder="1" applyAlignment="1">
      <alignment wrapText="1"/>
    </xf>
    <xf numFmtId="0" fontId="35" fillId="5" borderId="1" xfId="6" applyFont="1" applyFill="1" applyBorder="1"/>
    <xf numFmtId="0" fontId="36" fillId="5" borderId="1" xfId="6" applyFont="1" applyFill="1" applyBorder="1" applyAlignment="1">
      <alignment horizontal="center" vertical="center" wrapText="1"/>
    </xf>
    <xf numFmtId="0" fontId="36" fillId="5" borderId="1" xfId="6" applyFont="1" applyFill="1" applyBorder="1" applyAlignment="1">
      <alignment horizontal="center" vertical="center"/>
    </xf>
    <xf numFmtId="4" fontId="35" fillId="5" borderId="8" xfId="6" applyNumberFormat="1" applyFont="1" applyFill="1" applyBorder="1" applyAlignment="1">
      <alignment horizontal="center" vertical="center"/>
    </xf>
    <xf numFmtId="0" fontId="34" fillId="0" borderId="15" xfId="6" applyFont="1" applyBorder="1"/>
    <xf numFmtId="0" fontId="16" fillId="0" borderId="1" xfId="6" applyFont="1" applyBorder="1" applyAlignment="1">
      <alignment horizontal="center" vertical="center"/>
    </xf>
    <xf numFmtId="0" fontId="35" fillId="0" borderId="1" xfId="6" applyFont="1" applyBorder="1"/>
    <xf numFmtId="0" fontId="35" fillId="0" borderId="1" xfId="6" applyFont="1" applyBorder="1" applyAlignment="1">
      <alignment horizontal="center" vertical="center" wrapText="1"/>
    </xf>
    <xf numFmtId="0" fontId="35" fillId="0" borderId="1" xfId="6" applyFont="1" applyBorder="1" applyAlignment="1">
      <alignment horizontal="center" vertical="center"/>
    </xf>
    <xf numFmtId="4" fontId="35" fillId="0" borderId="1" xfId="6" applyNumberFormat="1" applyFont="1" applyBorder="1" applyAlignment="1">
      <alignment horizontal="center" vertical="center"/>
    </xf>
    <xf numFmtId="4" fontId="35" fillId="0" borderId="8" xfId="6" applyNumberFormat="1" applyFont="1" applyBorder="1" applyAlignment="1">
      <alignment horizontal="center" vertical="center"/>
    </xf>
    <xf numFmtId="0" fontId="34" fillId="8" borderId="0" xfId="6" applyFont="1" applyFill="1" applyAlignment="1">
      <alignment horizontal="center" vertical="center"/>
    </xf>
    <xf numFmtId="0" fontId="35" fillId="0" borderId="1" xfId="6" applyFont="1" applyBorder="1" applyAlignment="1">
      <alignment wrapText="1"/>
    </xf>
    <xf numFmtId="0" fontId="33" fillId="5" borderId="15" xfId="6" applyFont="1" applyFill="1" applyBorder="1"/>
    <xf numFmtId="0" fontId="9" fillId="5" borderId="1" xfId="6" applyFont="1" applyFill="1" applyBorder="1" applyAlignment="1">
      <alignment horizontal="center" vertical="center"/>
    </xf>
    <xf numFmtId="0" fontId="35" fillId="5" borderId="1" xfId="6" applyFont="1" applyFill="1" applyBorder="1" applyAlignment="1">
      <alignment wrapText="1"/>
    </xf>
    <xf numFmtId="0" fontId="33" fillId="5" borderId="1" xfId="6" applyFont="1" applyFill="1" applyBorder="1" applyAlignment="1">
      <alignment horizontal="center" vertical="center" wrapText="1"/>
    </xf>
    <xf numFmtId="0" fontId="33" fillId="5" borderId="1" xfId="6" applyFont="1" applyFill="1" applyBorder="1" applyAlignment="1">
      <alignment horizontal="center" vertical="center"/>
    </xf>
    <xf numFmtId="4" fontId="35" fillId="5" borderId="1" xfId="6" applyNumberFormat="1" applyFont="1" applyFill="1" applyBorder="1" applyAlignment="1">
      <alignment horizontal="center" vertical="center"/>
    </xf>
    <xf numFmtId="4" fontId="33" fillId="5" borderId="8" xfId="6" applyNumberFormat="1" applyFont="1" applyFill="1" applyBorder="1" applyAlignment="1">
      <alignment horizontal="center" vertical="center"/>
    </xf>
    <xf numFmtId="0" fontId="33" fillId="0" borderId="1" xfId="6" applyFont="1" applyBorder="1" applyAlignment="1">
      <alignment horizontal="center" vertical="center"/>
    </xf>
    <xf numFmtId="4" fontId="33" fillId="0" borderId="8" xfId="6" applyNumberFormat="1" applyFont="1" applyBorder="1" applyAlignment="1">
      <alignment horizontal="center" vertical="center"/>
    </xf>
    <xf numFmtId="0" fontId="35" fillId="5" borderId="15" xfId="6" applyFont="1" applyFill="1" applyBorder="1"/>
    <xf numFmtId="0" fontId="35" fillId="5" borderId="1" xfId="6" applyFont="1" applyFill="1" applyBorder="1" applyAlignment="1">
      <alignment horizontal="center" vertical="center" wrapText="1"/>
    </xf>
    <xf numFmtId="0" fontId="35" fillId="5" borderId="1" xfId="6" applyFont="1" applyFill="1" applyBorder="1" applyAlignment="1">
      <alignment horizontal="center" vertical="center"/>
    </xf>
    <xf numFmtId="0" fontId="35" fillId="0" borderId="0" xfId="6" applyFont="1" applyAlignment="1">
      <alignment horizontal="center" vertical="center"/>
    </xf>
    <xf numFmtId="49" fontId="35" fillId="0" borderId="1" xfId="6" applyNumberFormat="1" applyFont="1" applyBorder="1" applyAlignment="1">
      <alignment horizontal="left" wrapText="1"/>
    </xf>
    <xf numFmtId="0" fontId="33" fillId="0" borderId="1" xfId="6" applyFont="1" applyBorder="1" applyAlignment="1">
      <alignment horizontal="center" vertical="center" wrapText="1"/>
    </xf>
    <xf numFmtId="0" fontId="35" fillId="5" borderId="15" xfId="6" applyFont="1" applyFill="1" applyBorder="1" applyAlignment="1">
      <alignment vertical="center"/>
    </xf>
    <xf numFmtId="0" fontId="35" fillId="5" borderId="1" xfId="6" applyFont="1" applyFill="1" applyBorder="1" applyAlignment="1">
      <alignment vertical="center" wrapText="1"/>
    </xf>
    <xf numFmtId="2" fontId="34" fillId="0" borderId="0" xfId="6" applyNumberFormat="1" applyFont="1" applyAlignment="1">
      <alignment horizontal="center" vertical="center"/>
    </xf>
    <xf numFmtId="49" fontId="37" fillId="5" borderId="15" xfId="6" applyNumberFormat="1" applyFont="1" applyFill="1" applyBorder="1" applyAlignment="1">
      <alignment vertical="center"/>
    </xf>
    <xf numFmtId="0" fontId="10" fillId="5" borderId="1" xfId="6" applyFont="1" applyFill="1" applyBorder="1" applyAlignment="1">
      <alignment horizontal="center" vertical="center"/>
    </xf>
    <xf numFmtId="0" fontId="37" fillId="5" borderId="1" xfId="6" applyFont="1" applyFill="1" applyBorder="1" applyAlignment="1">
      <alignment vertical="center" wrapText="1"/>
    </xf>
    <xf numFmtId="0" fontId="37" fillId="5" borderId="1" xfId="6" applyFont="1" applyFill="1" applyBorder="1" applyAlignment="1">
      <alignment horizontal="center" vertical="center" wrapText="1"/>
    </xf>
    <xf numFmtId="0" fontId="37" fillId="5" borderId="1" xfId="6" applyFont="1" applyFill="1" applyBorder="1" applyAlignment="1">
      <alignment horizontal="center" vertical="center"/>
    </xf>
    <xf numFmtId="4" fontId="37" fillId="5" borderId="8" xfId="6" applyNumberFormat="1" applyFont="1" applyFill="1" applyBorder="1" applyAlignment="1">
      <alignment horizontal="center" vertical="center"/>
    </xf>
    <xf numFmtId="49" fontId="35" fillId="0" borderId="15" xfId="6" applyNumberFormat="1" applyFont="1" applyBorder="1" applyAlignment="1">
      <alignment vertical="center"/>
    </xf>
    <xf numFmtId="0" fontId="9" fillId="0" borderId="1" xfId="6" applyFont="1" applyBorder="1" applyAlignment="1">
      <alignment horizontal="center" vertical="center"/>
    </xf>
    <xf numFmtId="0" fontId="35" fillId="0" borderId="1" xfId="6" applyFont="1" applyBorder="1" applyAlignment="1">
      <alignment vertical="center" wrapText="1"/>
    </xf>
    <xf numFmtId="2" fontId="35" fillId="0" borderId="1" xfId="6" applyNumberFormat="1" applyFont="1" applyBorder="1" applyAlignment="1">
      <alignment horizontal="center" vertical="center"/>
    </xf>
    <xf numFmtId="49" fontId="36" fillId="0" borderId="15" xfId="6" applyNumberFormat="1" applyFont="1" applyBorder="1"/>
    <xf numFmtId="49" fontId="9" fillId="0" borderId="1" xfId="6" applyNumberFormat="1" applyFont="1" applyBorder="1" applyAlignment="1">
      <alignment horizontal="center" vertical="center"/>
    </xf>
    <xf numFmtId="49" fontId="9" fillId="0" borderId="1" xfId="6" applyNumberFormat="1" applyFont="1" applyBorder="1" applyAlignment="1">
      <alignment horizontal="left" vertical="center" wrapText="1"/>
    </xf>
    <xf numFmtId="2" fontId="9" fillId="0" borderId="1" xfId="6" applyNumberFormat="1" applyFont="1" applyBorder="1" applyAlignment="1">
      <alignment horizontal="center" vertical="center"/>
    </xf>
    <xf numFmtId="0" fontId="34" fillId="6" borderId="0" xfId="6" applyFont="1" applyFill="1" applyAlignment="1">
      <alignment horizontal="center" vertical="center"/>
    </xf>
    <xf numFmtId="4" fontId="9" fillId="0" borderId="1" xfId="6" applyNumberFormat="1" applyFont="1" applyBorder="1" applyAlignment="1">
      <alignment horizontal="center" vertical="center"/>
    </xf>
    <xf numFmtId="4" fontId="37" fillId="5" borderId="1" xfId="6" applyNumberFormat="1" applyFont="1" applyFill="1" applyBorder="1" applyAlignment="1">
      <alignment horizontal="center" vertical="center"/>
    </xf>
    <xf numFmtId="0" fontId="35" fillId="5" borderId="15" xfId="6" applyFont="1" applyFill="1" applyBorder="1" applyAlignment="1">
      <alignment horizontal="center" vertical="center"/>
    </xf>
    <xf numFmtId="0" fontId="35" fillId="5" borderId="1" xfId="6" applyFont="1" applyFill="1" applyBorder="1" applyAlignment="1">
      <alignment horizontal="left" vertical="center"/>
    </xf>
    <xf numFmtId="49" fontId="35" fillId="5" borderId="15" xfId="6" applyNumberFormat="1" applyFont="1" applyFill="1" applyBorder="1" applyAlignment="1">
      <alignment horizontal="center" vertical="center"/>
    </xf>
    <xf numFmtId="49" fontId="10" fillId="5" borderId="1" xfId="6" applyNumberFormat="1" applyFont="1" applyFill="1" applyBorder="1" applyAlignment="1">
      <alignment horizontal="left" vertical="center" wrapText="1"/>
    </xf>
    <xf numFmtId="4" fontId="10" fillId="5" borderId="8" xfId="6" applyNumberFormat="1" applyFont="1" applyFill="1" applyBorder="1" applyAlignment="1">
      <alignment horizontal="center" vertical="center"/>
    </xf>
    <xf numFmtId="49" fontId="35" fillId="0" borderId="15" xfId="6" applyNumberFormat="1" applyFont="1" applyBorder="1" applyAlignment="1">
      <alignment horizontal="center" vertical="center"/>
    </xf>
    <xf numFmtId="4" fontId="9" fillId="0" borderId="8" xfId="6" applyNumberFormat="1" applyFont="1" applyBorder="1" applyAlignment="1">
      <alignment horizontal="center" vertical="center"/>
    </xf>
    <xf numFmtId="49" fontId="35" fillId="0" borderId="1" xfId="6" applyNumberFormat="1" applyFont="1" applyBorder="1" applyAlignment="1">
      <alignment horizontal="justify" wrapText="1"/>
    </xf>
    <xf numFmtId="0" fontId="35" fillId="5" borderId="1" xfId="6" applyFont="1" applyFill="1" applyBorder="1" applyAlignment="1">
      <alignment vertical="center"/>
    </xf>
    <xf numFmtId="0" fontId="35" fillId="0" borderId="0" xfId="6" applyFont="1" applyAlignment="1">
      <alignment vertical="center"/>
    </xf>
    <xf numFmtId="0" fontId="35" fillId="6" borderId="0" xfId="6" applyFont="1" applyFill="1" applyAlignment="1">
      <alignment vertical="center"/>
    </xf>
    <xf numFmtId="49" fontId="35" fillId="5" borderId="15" xfId="6" applyNumberFormat="1" applyFont="1" applyFill="1" applyBorder="1" applyAlignment="1">
      <alignment horizontal="center"/>
    </xf>
    <xf numFmtId="2" fontId="10" fillId="5" borderId="1" xfId="6" applyNumberFormat="1" applyFont="1" applyFill="1" applyBorder="1" applyAlignment="1">
      <alignment wrapText="1"/>
    </xf>
    <xf numFmtId="0" fontId="16" fillId="5" borderId="1" xfId="6" applyFont="1" applyFill="1" applyBorder="1" applyAlignment="1">
      <alignment horizontal="center" vertical="center"/>
    </xf>
    <xf numFmtId="0" fontId="16" fillId="5" borderId="1" xfId="6" applyFont="1" applyFill="1" applyBorder="1" applyAlignment="1">
      <alignment horizontal="center" vertical="center" wrapText="1"/>
    </xf>
    <xf numFmtId="4" fontId="10" fillId="5" borderId="8" xfId="6" applyNumberFormat="1" applyFont="1" applyFill="1" applyBorder="1" applyAlignment="1">
      <alignment horizontal="center" vertical="center" wrapText="1"/>
    </xf>
    <xf numFmtId="49" fontId="35" fillId="7" borderId="15" xfId="6" applyNumberFormat="1" applyFont="1" applyFill="1" applyBorder="1" applyAlignment="1">
      <alignment horizontal="center"/>
    </xf>
    <xf numFmtId="0" fontId="9" fillId="7" borderId="1" xfId="6" applyFont="1" applyFill="1" applyBorder="1" applyAlignment="1">
      <alignment horizontal="center" vertical="center"/>
    </xf>
    <xf numFmtId="0" fontId="9" fillId="0" borderId="1" xfId="6" applyFont="1" applyBorder="1" applyAlignment="1">
      <alignment wrapText="1"/>
    </xf>
    <xf numFmtId="0" fontId="9" fillId="0" borderId="1" xfId="6" applyFont="1" applyBorder="1" applyAlignment="1">
      <alignment horizontal="center" vertical="center" wrapText="1"/>
    </xf>
    <xf numFmtId="4" fontId="9" fillId="0" borderId="1" xfId="6" applyNumberFormat="1" applyFont="1" applyBorder="1" applyAlignment="1">
      <alignment horizontal="center" vertical="center" wrapText="1"/>
    </xf>
    <xf numFmtId="4" fontId="9" fillId="0" borderId="8" xfId="6" applyNumberFormat="1" applyFont="1" applyBorder="1" applyAlignment="1">
      <alignment horizontal="center" vertical="center" wrapText="1"/>
    </xf>
    <xf numFmtId="2" fontId="9" fillId="0" borderId="1" xfId="6" applyNumberFormat="1" applyFont="1" applyBorder="1" applyAlignment="1">
      <alignment horizontal="center" vertical="center" wrapText="1"/>
    </xf>
    <xf numFmtId="0" fontId="29" fillId="0" borderId="7" xfId="6" applyFont="1" applyBorder="1"/>
    <xf numFmtId="0" fontId="58" fillId="0" borderId="24" xfId="6" applyFont="1" applyBorder="1" applyAlignment="1">
      <alignment horizontal="center" vertical="center"/>
    </xf>
    <xf numFmtId="0" fontId="38" fillId="0" borderId="24" xfId="6" applyFont="1" applyBorder="1"/>
    <xf numFmtId="0" fontId="29" fillId="0" borderId="24" xfId="6" applyFont="1" applyBorder="1"/>
    <xf numFmtId="4" fontId="30" fillId="0" borderId="25" xfId="6" applyNumberFormat="1" applyFont="1" applyBorder="1" applyAlignment="1">
      <alignment horizontal="center"/>
    </xf>
    <xf numFmtId="2" fontId="29" fillId="0" borderId="0" xfId="6" applyNumberFormat="1" applyFont="1"/>
    <xf numFmtId="0" fontId="58" fillId="0" borderId="0" xfId="6" applyFont="1" applyAlignment="1">
      <alignment horizontal="center" vertical="center"/>
    </xf>
    <xf numFmtId="0" fontId="38" fillId="0" borderId="0" xfId="6" applyFont="1"/>
    <xf numFmtId="2" fontId="38" fillId="0" borderId="0" xfId="6" applyNumberFormat="1" applyFont="1"/>
    <xf numFmtId="0" fontId="60" fillId="0" borderId="0" xfId="6" applyFont="1" applyAlignment="1">
      <alignment horizontal="center" vertical="center"/>
    </xf>
    <xf numFmtId="0" fontId="24" fillId="0" borderId="0" xfId="6" applyFont="1" applyAlignment="1">
      <alignment horizontal="center"/>
    </xf>
    <xf numFmtId="2" fontId="39" fillId="0" borderId="0" xfId="6" applyNumberFormat="1" applyFont="1" applyAlignment="1">
      <alignment horizontal="center"/>
    </xf>
    <xf numFmtId="0" fontId="41" fillId="0" borderId="0" xfId="6" applyFont="1"/>
    <xf numFmtId="0" fontId="36" fillId="0" borderId="0" xfId="6" applyFont="1"/>
    <xf numFmtId="0" fontId="40" fillId="0" borderId="0" xfId="6" applyFont="1" applyAlignment="1">
      <alignment horizontal="left" wrapText="1"/>
    </xf>
    <xf numFmtId="0" fontId="40" fillId="0" borderId="0" xfId="6" applyFont="1" applyAlignment="1">
      <alignment horizontal="left"/>
    </xf>
    <xf numFmtId="0" fontId="43" fillId="0" borderId="0" xfId="6" applyFont="1" applyAlignment="1">
      <alignment vertical="top"/>
    </xf>
    <xf numFmtId="0" fontId="36" fillId="0" borderId="0" xfId="6" applyFont="1" applyAlignment="1">
      <alignment horizontal="center"/>
    </xf>
    <xf numFmtId="0" fontId="36" fillId="0" borderId="0" xfId="6" applyFont="1" applyAlignment="1">
      <alignment horizontal="left"/>
    </xf>
    <xf numFmtId="0" fontId="58" fillId="0" borderId="0" xfId="7" applyFont="1"/>
    <xf numFmtId="0" fontId="61" fillId="0" borderId="0" xfId="7" applyFont="1"/>
    <xf numFmtId="0" fontId="61" fillId="0" borderId="3" xfId="7" applyFont="1" applyBorder="1"/>
    <xf numFmtId="0" fontId="58" fillId="0" borderId="3" xfId="7" applyFont="1" applyBorder="1"/>
    <xf numFmtId="0" fontId="31" fillId="0" borderId="0" xfId="7" applyFont="1"/>
    <xf numFmtId="0" fontId="36" fillId="0" borderId="0" xfId="7" applyFont="1" applyAlignment="1">
      <alignment horizontal="left" vertical="top"/>
    </xf>
    <xf numFmtId="0" fontId="61" fillId="0" borderId="0" xfId="7" applyFont="1" applyAlignment="1">
      <alignment horizontal="center" vertical="center"/>
    </xf>
    <xf numFmtId="0" fontId="31" fillId="0" borderId="0" xfId="7" applyFont="1" applyAlignment="1">
      <alignment horizontal="center"/>
    </xf>
    <xf numFmtId="0" fontId="61" fillId="0" borderId="0" xfId="7" applyFont="1" applyAlignment="1">
      <alignment horizontal="left" vertical="center"/>
    </xf>
    <xf numFmtId="0" fontId="31" fillId="0" borderId="3" xfId="7" applyFont="1" applyBorder="1" applyAlignment="1">
      <alignment horizontal="center"/>
    </xf>
    <xf numFmtId="0" fontId="31" fillId="0" borderId="3" xfId="7" applyFont="1" applyBorder="1"/>
    <xf numFmtId="0" fontId="41" fillId="0" borderId="0" xfId="7" applyFont="1"/>
    <xf numFmtId="0" fontId="40" fillId="0" borderId="0" xfId="7" applyFont="1" applyAlignment="1">
      <alignment vertical="center"/>
    </xf>
    <xf numFmtId="0" fontId="40" fillId="0" borderId="0" xfId="1" applyFont="1" applyAlignment="1">
      <alignment vertical="center"/>
    </xf>
    <xf numFmtId="4" fontId="41" fillId="0" borderId="0" xfId="1" applyNumberFormat="1" applyFont="1" applyAlignment="1">
      <alignment vertical="center" wrapText="1"/>
    </xf>
    <xf numFmtId="0" fontId="40" fillId="0" borderId="0" xfId="1" applyFont="1" applyAlignment="1">
      <alignment horizontal="center" vertical="center"/>
    </xf>
    <xf numFmtId="0" fontId="9" fillId="0" borderId="1" xfId="9" applyFont="1" applyBorder="1" applyAlignment="1" applyProtection="1">
      <alignment horizontal="center" vertical="center" wrapText="1"/>
    </xf>
    <xf numFmtId="0" fontId="9" fillId="0" borderId="1" xfId="7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 wrapText="1"/>
    </xf>
    <xf numFmtId="0" fontId="64" fillId="0" borderId="1" xfId="1" applyFont="1" applyBorder="1" applyAlignment="1">
      <alignment horizontal="center" vertical="top" wrapText="1"/>
    </xf>
    <xf numFmtId="1" fontId="64" fillId="0" borderId="1" xfId="1" applyNumberFormat="1" applyFont="1" applyBorder="1" applyAlignment="1">
      <alignment horizontal="center" vertical="top" wrapText="1"/>
    </xf>
    <xf numFmtId="0" fontId="64" fillId="0" borderId="46" xfId="1" applyFont="1" applyBorder="1" applyAlignment="1">
      <alignment vertical="top" wrapText="1"/>
    </xf>
    <xf numFmtId="1" fontId="65" fillId="0" borderId="1" xfId="1" applyNumberFormat="1" applyFont="1" applyBorder="1" applyAlignment="1">
      <alignment horizontal="center" vertical="top" wrapText="1"/>
    </xf>
    <xf numFmtId="0" fontId="66" fillId="0" borderId="1" xfId="1" applyFont="1" applyBorder="1" applyAlignment="1">
      <alignment horizontal="justify" vertical="center"/>
    </xf>
    <xf numFmtId="0" fontId="41" fillId="0" borderId="1" xfId="1" applyFont="1" applyBorder="1" applyAlignment="1">
      <alignment horizontal="center" vertical="center"/>
    </xf>
    <xf numFmtId="4" fontId="41" fillId="0" borderId="1" xfId="1" applyNumberFormat="1" applyFont="1" applyBorder="1" applyAlignment="1">
      <alignment horizontal="center" vertical="center"/>
    </xf>
    <xf numFmtId="4" fontId="16" fillId="0" borderId="1" xfId="1" applyNumberFormat="1" applyFont="1" applyBorder="1" applyAlignment="1">
      <alignment horizontal="center" vertical="center"/>
    </xf>
    <xf numFmtId="4" fontId="32" fillId="0" borderId="1" xfId="7" applyNumberFormat="1" applyFont="1" applyBorder="1" applyAlignment="1">
      <alignment vertical="center"/>
    </xf>
    <xf numFmtId="0" fontId="66" fillId="0" borderId="1" xfId="1" applyFont="1" applyBorder="1" applyAlignment="1">
      <alignment vertical="center" wrapText="1"/>
    </xf>
    <xf numFmtId="165" fontId="41" fillId="0" borderId="1" xfId="7" applyNumberFormat="1" applyFont="1" applyBorder="1" applyAlignment="1">
      <alignment horizontal="center" vertical="center"/>
    </xf>
    <xf numFmtId="2" fontId="41" fillId="0" borderId="1" xfId="7" applyNumberFormat="1" applyFont="1" applyBorder="1" applyAlignment="1">
      <alignment horizontal="center" vertical="center"/>
    </xf>
    <xf numFmtId="1" fontId="41" fillId="0" borderId="1" xfId="1" applyNumberFormat="1" applyFont="1" applyBorder="1" applyAlignment="1">
      <alignment horizontal="center" vertical="center"/>
    </xf>
    <xf numFmtId="9" fontId="16" fillId="0" borderId="1" xfId="1" applyNumberFormat="1" applyFont="1" applyBorder="1" applyAlignment="1">
      <alignment horizontal="center" vertical="center"/>
    </xf>
    <xf numFmtId="2" fontId="16" fillId="0" borderId="1" xfId="1" applyNumberFormat="1" applyFont="1" applyBorder="1" applyAlignment="1">
      <alignment horizontal="center" vertical="center"/>
    </xf>
    <xf numFmtId="9" fontId="41" fillId="0" borderId="1" xfId="10" applyFont="1" applyFill="1" applyBorder="1" applyAlignment="1">
      <alignment horizontal="center" vertical="center"/>
    </xf>
    <xf numFmtId="0" fontId="66" fillId="4" borderId="1" xfId="1" applyFont="1" applyFill="1" applyBorder="1" applyAlignment="1">
      <alignment vertical="center" wrapText="1"/>
    </xf>
    <xf numFmtId="0" fontId="32" fillId="4" borderId="1" xfId="1" applyFont="1" applyFill="1" applyBorder="1" applyAlignment="1">
      <alignment horizontal="center"/>
    </xf>
    <xf numFmtId="0" fontId="32" fillId="4" borderId="1" xfId="1" applyFont="1" applyFill="1" applyBorder="1" applyAlignment="1">
      <alignment horizontal="center" vertical="center"/>
    </xf>
    <xf numFmtId="165" fontId="32" fillId="4" borderId="1" xfId="7" applyNumberFormat="1" applyFont="1" applyFill="1" applyBorder="1" applyAlignment="1">
      <alignment horizontal="center" vertical="center"/>
    </xf>
    <xf numFmtId="2" fontId="32" fillId="4" borderId="1" xfId="7" applyNumberFormat="1" applyFont="1" applyFill="1" applyBorder="1" applyAlignment="1">
      <alignment horizontal="center" vertical="center"/>
    </xf>
    <xf numFmtId="165" fontId="32" fillId="4" borderId="1" xfId="1" applyNumberFormat="1" applyFont="1" applyFill="1" applyBorder="1" applyAlignment="1">
      <alignment horizontal="center" vertical="center"/>
    </xf>
    <xf numFmtId="4" fontId="32" fillId="4" borderId="1" xfId="1" applyNumberFormat="1" applyFont="1" applyFill="1" applyBorder="1" applyAlignment="1">
      <alignment horizontal="center" vertical="center"/>
    </xf>
    <xf numFmtId="9" fontId="9" fillId="4" borderId="1" xfId="1" applyNumberFormat="1" applyFont="1" applyFill="1" applyBorder="1" applyAlignment="1">
      <alignment horizontal="center" vertical="center"/>
    </xf>
    <xf numFmtId="2" fontId="9" fillId="4" borderId="1" xfId="1" applyNumberFormat="1" applyFont="1" applyFill="1" applyBorder="1" applyAlignment="1">
      <alignment horizontal="center" vertical="center"/>
    </xf>
    <xf numFmtId="4" fontId="9" fillId="4" borderId="1" xfId="1" applyNumberFormat="1" applyFont="1" applyFill="1" applyBorder="1" applyAlignment="1">
      <alignment horizontal="center" vertical="center"/>
    </xf>
    <xf numFmtId="9" fontId="32" fillId="4" borderId="1" xfId="10" applyFont="1" applyFill="1" applyBorder="1" applyAlignment="1">
      <alignment horizontal="center" vertical="center"/>
    </xf>
    <xf numFmtId="4" fontId="32" fillId="4" borderId="1" xfId="7" applyNumberFormat="1" applyFont="1" applyFill="1" applyBorder="1" applyAlignment="1">
      <alignment vertical="center"/>
    </xf>
    <xf numFmtId="0" fontId="66" fillId="4" borderId="1" xfId="1" applyFont="1" applyFill="1" applyBorder="1" applyAlignment="1">
      <alignment horizontal="justify" vertical="center" wrapText="1"/>
    </xf>
    <xf numFmtId="0" fontId="41" fillId="4" borderId="1" xfId="1" applyFont="1" applyFill="1" applyBorder="1" applyAlignment="1">
      <alignment horizontal="center" vertical="center"/>
    </xf>
    <xf numFmtId="165" fontId="41" fillId="4" borderId="1" xfId="7" applyNumberFormat="1" applyFont="1" applyFill="1" applyBorder="1" applyAlignment="1">
      <alignment horizontal="center" vertical="center"/>
    </xf>
    <xf numFmtId="2" fontId="41" fillId="4" borderId="1" xfId="7" applyNumberFormat="1" applyFont="1" applyFill="1" applyBorder="1" applyAlignment="1">
      <alignment horizontal="center" vertical="center"/>
    </xf>
    <xf numFmtId="165" fontId="41" fillId="4" borderId="1" xfId="1" applyNumberFormat="1" applyFont="1" applyFill="1" applyBorder="1" applyAlignment="1">
      <alignment horizontal="center" vertical="center"/>
    </xf>
    <xf numFmtId="4" fontId="41" fillId="4" borderId="1" xfId="1" applyNumberFormat="1" applyFont="1" applyFill="1" applyBorder="1" applyAlignment="1">
      <alignment horizontal="center" vertical="center"/>
    </xf>
    <xf numFmtId="49" fontId="41" fillId="4" borderId="1" xfId="1" applyNumberFormat="1" applyFont="1" applyFill="1" applyBorder="1" applyAlignment="1">
      <alignment horizontal="center" vertical="center"/>
    </xf>
    <xf numFmtId="4" fontId="16" fillId="4" borderId="1" xfId="1" applyNumberFormat="1" applyFont="1" applyFill="1" applyBorder="1" applyAlignment="1">
      <alignment horizontal="center" vertical="center"/>
    </xf>
    <xf numFmtId="9" fontId="41" fillId="4" borderId="1" xfId="1" applyNumberFormat="1" applyFont="1" applyFill="1" applyBorder="1" applyAlignment="1">
      <alignment horizontal="center" vertical="center"/>
    </xf>
    <xf numFmtId="9" fontId="41" fillId="4" borderId="1" xfId="10" applyFont="1" applyFill="1" applyBorder="1" applyAlignment="1">
      <alignment horizontal="center" vertical="center"/>
    </xf>
    <xf numFmtId="2" fontId="41" fillId="4" borderId="1" xfId="1" applyNumberFormat="1" applyFont="1" applyFill="1" applyBorder="1" applyAlignment="1">
      <alignment horizontal="center" vertical="center"/>
    </xf>
    <xf numFmtId="1" fontId="41" fillId="4" borderId="1" xfId="1" applyNumberFormat="1" applyFont="1" applyFill="1" applyBorder="1" applyAlignment="1">
      <alignment horizontal="center" vertical="center"/>
    </xf>
    <xf numFmtId="9" fontId="16" fillId="4" borderId="1" xfId="1" applyNumberFormat="1" applyFont="1" applyFill="1" applyBorder="1" applyAlignment="1">
      <alignment horizontal="center" vertical="center"/>
    </xf>
    <xf numFmtId="2" fontId="16" fillId="4" borderId="1" xfId="1" applyNumberFormat="1" applyFont="1" applyFill="1" applyBorder="1" applyAlignment="1">
      <alignment horizontal="center" vertical="center"/>
    </xf>
    <xf numFmtId="3" fontId="32" fillId="4" borderId="1" xfId="1" applyNumberFormat="1" applyFont="1" applyFill="1" applyBorder="1" applyAlignment="1">
      <alignment horizontal="center" vertical="center"/>
    </xf>
    <xf numFmtId="0" fontId="32" fillId="4" borderId="0" xfId="1" applyFont="1" applyFill="1" applyAlignment="1">
      <alignment horizontal="left" vertical="center" wrapText="1"/>
    </xf>
    <xf numFmtId="0" fontId="32" fillId="4" borderId="0" xfId="1" applyFont="1" applyFill="1" applyAlignment="1">
      <alignment horizontal="center" vertical="center"/>
    </xf>
    <xf numFmtId="0" fontId="41" fillId="4" borderId="0" xfId="1" applyFont="1" applyFill="1" applyAlignment="1">
      <alignment horizontal="center" vertical="center"/>
    </xf>
    <xf numFmtId="3" fontId="32" fillId="4" borderId="0" xfId="1" applyNumberFormat="1" applyFont="1" applyFill="1" applyAlignment="1">
      <alignment horizontal="center" vertical="center"/>
    </xf>
    <xf numFmtId="0" fontId="21" fillId="0" borderId="0" xfId="1" applyFont="1" applyAlignment="1">
      <alignment vertical="center"/>
    </xf>
    <xf numFmtId="0" fontId="21" fillId="0" borderId="0" xfId="7" applyFont="1" applyAlignment="1">
      <alignment vertical="center"/>
    </xf>
    <xf numFmtId="0" fontId="9" fillId="0" borderId="0" xfId="1" applyFont="1" applyAlignment="1">
      <alignment horizontal="left" vertical="center"/>
    </xf>
    <xf numFmtId="4" fontId="21" fillId="0" borderId="0" xfId="1" applyNumberFormat="1" applyFont="1" applyAlignment="1">
      <alignment horizontal="left" vertical="center"/>
    </xf>
    <xf numFmtId="2" fontId="21" fillId="0" borderId="0" xfId="1" applyNumberFormat="1" applyFont="1" applyAlignment="1">
      <alignment horizontal="right" vertical="center" wrapText="1"/>
    </xf>
    <xf numFmtId="165" fontId="32" fillId="0" borderId="0" xfId="7" applyNumberFormat="1" applyFont="1" applyAlignment="1">
      <alignment vertical="center"/>
    </xf>
    <xf numFmtId="165" fontId="21" fillId="0" borderId="0" xfId="7" applyNumberFormat="1" applyFont="1" applyAlignment="1">
      <alignment vertical="center"/>
    </xf>
    <xf numFmtId="4" fontId="40" fillId="0" borderId="0" xfId="7" applyNumberFormat="1" applyFont="1" applyAlignment="1">
      <alignment vertical="center"/>
    </xf>
    <xf numFmtId="9" fontId="21" fillId="0" borderId="0" xfId="7" applyNumberFormat="1" applyFont="1" applyAlignment="1">
      <alignment vertical="center"/>
    </xf>
    <xf numFmtId="4" fontId="21" fillId="0" borderId="0" xfId="1" applyNumberFormat="1" applyFont="1" applyAlignment="1">
      <alignment vertical="center"/>
    </xf>
    <xf numFmtId="4" fontId="9" fillId="0" borderId="0" xfId="1" applyNumberFormat="1" applyFont="1" applyAlignment="1">
      <alignment vertical="center"/>
    </xf>
    <xf numFmtId="3" fontId="21" fillId="0" borderId="0" xfId="1" applyNumberFormat="1" applyFont="1" applyAlignment="1">
      <alignment horizontal="center" vertical="center"/>
    </xf>
    <xf numFmtId="0" fontId="67" fillId="0" borderId="0" xfId="7" applyFont="1"/>
    <xf numFmtId="0" fontId="21" fillId="0" borderId="0" xfId="1" applyFont="1" applyAlignment="1">
      <alignment horizontal="left" vertical="center"/>
    </xf>
    <xf numFmtId="0" fontId="58" fillId="0" borderId="0" xfId="1" applyFont="1" applyAlignment="1">
      <alignment horizontal="justify" vertical="center"/>
    </xf>
    <xf numFmtId="0" fontId="58" fillId="0" borderId="0" xfId="1" applyFont="1" applyAlignment="1">
      <alignment horizontal="center" vertical="center"/>
    </xf>
    <xf numFmtId="9" fontId="21" fillId="0" borderId="0" xfId="10" applyFont="1" applyFill="1" applyBorder="1" applyAlignment="1">
      <alignment horizontal="center" vertical="center"/>
    </xf>
    <xf numFmtId="4" fontId="21" fillId="0" borderId="0" xfId="1" applyNumberFormat="1" applyFont="1" applyAlignment="1">
      <alignment horizontal="center" vertical="center"/>
    </xf>
    <xf numFmtId="9" fontId="40" fillId="0" borderId="0" xfId="10" applyFont="1" applyFill="1" applyBorder="1" applyAlignment="1">
      <alignment horizontal="center" vertical="center"/>
    </xf>
    <xf numFmtId="4" fontId="40" fillId="0" borderId="0" xfId="1" applyNumberFormat="1" applyFont="1" applyAlignment="1">
      <alignment horizontal="left" vertical="center"/>
    </xf>
    <xf numFmtId="0" fontId="68" fillId="0" borderId="0" xfId="7" applyFont="1" applyAlignment="1">
      <alignment vertical="center"/>
    </xf>
    <xf numFmtId="4" fontId="51" fillId="3" borderId="1" xfId="3" applyNumberFormat="1" applyFont="1" applyFill="1" applyBorder="1" applyAlignment="1">
      <alignment vertical="center"/>
    </xf>
    <xf numFmtId="4" fontId="51" fillId="3" borderId="1" xfId="3" applyNumberFormat="1" applyFont="1" applyFill="1" applyBorder="1" applyAlignment="1">
      <alignment horizontal="center" wrapText="1"/>
    </xf>
    <xf numFmtId="4" fontId="52" fillId="3" borderId="1" xfId="3" applyNumberFormat="1" applyFont="1" applyFill="1" applyBorder="1" applyAlignment="1">
      <alignment horizontal="center"/>
    </xf>
    <xf numFmtId="4" fontId="52" fillId="3" borderId="1" xfId="1" applyNumberFormat="1" applyFont="1" applyFill="1" applyBorder="1" applyAlignment="1">
      <alignment horizontal="center"/>
    </xf>
    <xf numFmtId="49" fontId="16" fillId="0" borderId="1" xfId="6" applyNumberFormat="1" applyFont="1" applyBorder="1" applyAlignment="1">
      <alignment horizontal="left" vertical="center" wrapText="1"/>
    </xf>
    <xf numFmtId="4" fontId="16" fillId="0" borderId="1" xfId="6" applyNumberFormat="1" applyFont="1" applyBorder="1" applyAlignment="1">
      <alignment horizontal="center" vertical="center"/>
    </xf>
    <xf numFmtId="2" fontId="16" fillId="0" borderId="1" xfId="6" applyNumberFormat="1" applyFont="1" applyBorder="1" applyAlignment="1">
      <alignment horizontal="center" vertical="center"/>
    </xf>
    <xf numFmtId="3" fontId="16" fillId="0" borderId="1" xfId="6" applyNumberFormat="1" applyFont="1" applyBorder="1" applyAlignment="1">
      <alignment horizontal="center" vertical="center"/>
    </xf>
    <xf numFmtId="0" fontId="57" fillId="0" borderId="1" xfId="3" applyFont="1" applyBorder="1"/>
    <xf numFmtId="49" fontId="36" fillId="0" borderId="1" xfId="6" applyNumberFormat="1" applyFont="1" applyBorder="1" applyAlignment="1">
      <alignment horizontal="left" wrapText="1"/>
    </xf>
    <xf numFmtId="168" fontId="31" fillId="0" borderId="1" xfId="3" applyNumberFormat="1" applyFont="1" applyBorder="1" applyAlignment="1">
      <alignment horizontal="center" vertical="center"/>
    </xf>
    <xf numFmtId="0" fontId="41" fillId="0" borderId="0" xfId="3" applyFont="1"/>
    <xf numFmtId="0" fontId="16" fillId="0" borderId="45" xfId="3" applyFont="1" applyBorder="1" applyAlignment="1">
      <alignment vertical="top"/>
    </xf>
    <xf numFmtId="0" fontId="16" fillId="0" borderId="9" xfId="0" quotePrefix="1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 wrapText="1"/>
    </xf>
    <xf numFmtId="0" fontId="16" fillId="0" borderId="23" xfId="0" applyFont="1" applyBorder="1" applyAlignment="1">
      <alignment horizontal="center" vertical="center" wrapText="1"/>
    </xf>
    <xf numFmtId="4" fontId="10" fillId="0" borderId="5" xfId="0" applyNumberFormat="1" applyFont="1" applyBorder="1" applyAlignment="1">
      <alignment horizontal="center" vertical="center"/>
    </xf>
    <xf numFmtId="4" fontId="6" fillId="0" borderId="0" xfId="0" applyNumberFormat="1" applyFont="1" applyAlignment="1">
      <alignment horizontal="right"/>
    </xf>
    <xf numFmtId="0" fontId="6" fillId="0" borderId="0" xfId="0" applyFont="1" applyAlignment="1">
      <alignment horizontal="right"/>
    </xf>
    <xf numFmtId="0" fontId="1" fillId="0" borderId="0" xfId="11"/>
    <xf numFmtId="0" fontId="77" fillId="0" borderId="1" xfId="11" applyFont="1" applyBorder="1" applyAlignment="1">
      <alignment horizontal="center" vertical="center" wrapText="1"/>
    </xf>
    <xf numFmtId="0" fontId="77" fillId="0" borderId="1" xfId="11" applyFont="1" applyBorder="1" applyAlignment="1">
      <alignment horizontal="center" vertical="center"/>
    </xf>
    <xf numFmtId="49" fontId="34" fillId="0" borderId="1" xfId="11" applyNumberFormat="1" applyFont="1" applyBorder="1" applyAlignment="1">
      <alignment horizontal="center" vertical="center"/>
    </xf>
    <xf numFmtId="0" fontId="34" fillId="0" borderId="1" xfId="11" applyFont="1" applyBorder="1"/>
    <xf numFmtId="0" fontId="34" fillId="0" borderId="1" xfId="11" applyFont="1" applyBorder="1" applyAlignment="1">
      <alignment horizontal="center" vertical="center"/>
    </xf>
    <xf numFmtId="4" fontId="34" fillId="0" borderId="1" xfId="11" applyNumberFormat="1" applyFont="1" applyBorder="1" applyAlignment="1">
      <alignment horizontal="center" vertical="center"/>
    </xf>
    <xf numFmtId="2" fontId="1" fillId="0" borderId="0" xfId="11" applyNumberFormat="1"/>
    <xf numFmtId="0" fontId="34" fillId="0" borderId="0" xfId="11" applyFont="1" applyAlignment="1">
      <alignment wrapText="1"/>
    </xf>
    <xf numFmtId="0" fontId="34" fillId="0" borderId="2" xfId="11" applyFont="1" applyBorder="1"/>
    <xf numFmtId="0" fontId="34" fillId="0" borderId="1" xfId="11" applyFont="1" applyBorder="1" applyAlignment="1">
      <alignment wrapText="1"/>
    </xf>
    <xf numFmtId="0" fontId="33" fillId="0" borderId="1" xfId="11" applyFont="1" applyBorder="1" applyAlignment="1">
      <alignment horizontal="center" vertical="center"/>
    </xf>
    <xf numFmtId="4" fontId="33" fillId="0" borderId="1" xfId="11" applyNumberFormat="1" applyFont="1" applyBorder="1" applyAlignment="1">
      <alignment horizontal="center" vertical="center"/>
    </xf>
    <xf numFmtId="2" fontId="70" fillId="0" borderId="0" xfId="11" applyNumberFormat="1" applyFont="1"/>
    <xf numFmtId="0" fontId="34" fillId="0" borderId="0" xfId="11" applyFont="1" applyAlignment="1">
      <alignment horizontal="center" vertical="center"/>
    </xf>
    <xf numFmtId="0" fontId="33" fillId="0" borderId="0" xfId="11" applyFont="1"/>
    <xf numFmtId="0" fontId="33" fillId="0" borderId="0" xfId="11" applyFont="1" applyAlignment="1">
      <alignment horizontal="center" vertical="center"/>
    </xf>
    <xf numFmtId="0" fontId="1" fillId="0" borderId="0" xfId="11" applyAlignment="1">
      <alignment horizontal="center" vertical="center"/>
    </xf>
    <xf numFmtId="0" fontId="78" fillId="0" borderId="0" xfId="11" applyFont="1"/>
    <xf numFmtId="0" fontId="16" fillId="0" borderId="18" xfId="0" quotePrefix="1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0" fontId="16" fillId="0" borderId="7" xfId="0" quotePrefix="1" applyFont="1" applyBorder="1" applyAlignment="1">
      <alignment horizontal="center" vertical="center"/>
    </xf>
    <xf numFmtId="0" fontId="16" fillId="4" borderId="6" xfId="0" quotePrefix="1" applyFont="1" applyFill="1" applyBorder="1" applyAlignment="1">
      <alignment horizontal="center" vertical="center"/>
    </xf>
    <xf numFmtId="0" fontId="16" fillId="0" borderId="6" xfId="0" quotePrefix="1" applyFont="1" applyBorder="1" applyAlignment="1">
      <alignment horizontal="center" vertical="center"/>
    </xf>
    <xf numFmtId="0" fontId="9" fillId="0" borderId="17" xfId="0" applyFont="1" applyBorder="1" applyAlignment="1">
      <alignment horizontal="left" wrapText="1"/>
    </xf>
    <xf numFmtId="0" fontId="16" fillId="0" borderId="17" xfId="0" quotePrefix="1" applyFont="1" applyBorder="1" applyAlignment="1">
      <alignment horizontal="center"/>
    </xf>
    <xf numFmtId="4" fontId="15" fillId="0" borderId="35" xfId="0" applyNumberFormat="1" applyFont="1" applyBorder="1" applyAlignment="1">
      <alignment horizontal="center" vertical="center"/>
    </xf>
    <xf numFmtId="4" fontId="10" fillId="0" borderId="35" xfId="0" applyNumberFormat="1" applyFont="1" applyBorder="1" applyAlignment="1">
      <alignment horizontal="center" vertical="center"/>
    </xf>
    <xf numFmtId="4" fontId="10" fillId="0" borderId="35" xfId="0" applyNumberFormat="1" applyFont="1" applyBorder="1" applyAlignment="1">
      <alignment horizontal="right" vertical="center"/>
    </xf>
    <xf numFmtId="4" fontId="15" fillId="0" borderId="35" xfId="0" applyNumberFormat="1" applyFont="1" applyBorder="1" applyAlignment="1">
      <alignment horizontal="right" vertical="center"/>
    </xf>
    <xf numFmtId="4" fontId="15" fillId="0" borderId="27" xfId="0" applyNumberFormat="1" applyFont="1" applyBorder="1" applyAlignment="1">
      <alignment horizontal="right" vertical="center"/>
    </xf>
    <xf numFmtId="0" fontId="15" fillId="0" borderId="41" xfId="0" applyFont="1" applyBorder="1" applyAlignment="1">
      <alignment horizontal="left" wrapText="1"/>
    </xf>
    <xf numFmtId="4" fontId="16" fillId="0" borderId="24" xfId="0" applyNumberFormat="1" applyFont="1" applyBorder="1" applyAlignment="1">
      <alignment horizontal="right" vertical="center"/>
    </xf>
    <xf numFmtId="4" fontId="16" fillId="0" borderId="25" xfId="0" applyNumberFormat="1" applyFont="1" applyBorder="1" applyAlignment="1">
      <alignment horizontal="right" vertical="center"/>
    </xf>
    <xf numFmtId="0" fontId="15" fillId="0" borderId="10" xfId="0" applyFont="1" applyBorder="1" applyAlignment="1">
      <alignment horizontal="left" wrapText="1"/>
    </xf>
    <xf numFmtId="4" fontId="9" fillId="0" borderId="39" xfId="0" applyNumberFormat="1" applyFont="1" applyBorder="1" applyAlignment="1">
      <alignment horizontal="center" vertical="center"/>
    </xf>
    <xf numFmtId="4" fontId="9" fillId="0" borderId="39" xfId="0" applyNumberFormat="1" applyFont="1" applyBorder="1" applyAlignment="1">
      <alignment horizontal="right" vertical="center"/>
    </xf>
    <xf numFmtId="4" fontId="16" fillId="0" borderId="39" xfId="0" applyNumberFormat="1" applyFont="1" applyBorder="1" applyAlignment="1">
      <alignment horizontal="right" vertical="center"/>
    </xf>
    <xf numFmtId="4" fontId="9" fillId="0" borderId="42" xfId="0" applyNumberFormat="1" applyFont="1" applyBorder="1" applyAlignment="1">
      <alignment horizontal="right" vertical="center"/>
    </xf>
    <xf numFmtId="0" fontId="9" fillId="0" borderId="50" xfId="0" applyFont="1" applyBorder="1" applyAlignment="1">
      <alignment horizontal="left" wrapText="1"/>
    </xf>
    <xf numFmtId="0" fontId="16" fillId="4" borderId="36" xfId="0" quotePrefix="1" applyFont="1" applyFill="1" applyBorder="1" applyAlignment="1">
      <alignment horizontal="center" vertical="center"/>
    </xf>
    <xf numFmtId="4" fontId="9" fillId="0" borderId="46" xfId="0" applyNumberFormat="1" applyFont="1" applyBorder="1" applyAlignment="1">
      <alignment horizontal="center" vertical="center" wrapText="1"/>
    </xf>
    <xf numFmtId="4" fontId="9" fillId="0" borderId="46" xfId="0" applyNumberFormat="1" applyFont="1" applyBorder="1" applyAlignment="1">
      <alignment horizontal="right" vertical="center" wrapText="1"/>
    </xf>
    <xf numFmtId="4" fontId="9" fillId="0" borderId="47" xfId="0" applyNumberFormat="1" applyFont="1" applyBorder="1" applyAlignment="1">
      <alignment horizontal="right" vertical="center" wrapText="1"/>
    </xf>
    <xf numFmtId="0" fontId="16" fillId="0" borderId="44" xfId="0" applyFont="1" applyBorder="1" applyAlignment="1">
      <alignment horizontal="left" wrapText="1"/>
    </xf>
    <xf numFmtId="0" fontId="16" fillId="0" borderId="49" xfId="0" quotePrefix="1" applyFont="1" applyBorder="1" applyAlignment="1">
      <alignment horizontal="center" vertical="center"/>
    </xf>
    <xf numFmtId="4" fontId="16" fillId="0" borderId="5" xfId="0" applyNumberFormat="1" applyFont="1" applyBorder="1" applyAlignment="1">
      <alignment horizontal="right" vertical="center" wrapText="1"/>
    </xf>
    <xf numFmtId="4" fontId="16" fillId="0" borderId="23" xfId="0" applyNumberFormat="1" applyFont="1" applyBorder="1" applyAlignment="1">
      <alignment horizontal="right" vertical="center" wrapText="1"/>
    </xf>
    <xf numFmtId="0" fontId="9" fillId="0" borderId="21" xfId="0" applyFont="1" applyBorder="1" applyAlignment="1">
      <alignment horizontal="left" wrapText="1"/>
    </xf>
    <xf numFmtId="0" fontId="16" fillId="0" borderId="32" xfId="0" applyFont="1" applyBorder="1" applyAlignment="1">
      <alignment horizontal="center" wrapText="1"/>
    </xf>
    <xf numFmtId="4" fontId="16" fillId="0" borderId="46" xfId="0" applyNumberFormat="1" applyFont="1" applyBorder="1" applyAlignment="1">
      <alignment horizontal="center" vertical="center" wrapText="1"/>
    </xf>
    <xf numFmtId="4" fontId="16" fillId="0" borderId="46" xfId="0" applyNumberFormat="1" applyFont="1" applyBorder="1" applyAlignment="1">
      <alignment horizontal="right" vertical="center" wrapText="1"/>
    </xf>
    <xf numFmtId="4" fontId="16" fillId="0" borderId="36" xfId="0" applyNumberFormat="1" applyFont="1" applyBorder="1" applyAlignment="1">
      <alignment horizontal="right" vertical="center" wrapText="1"/>
    </xf>
    <xf numFmtId="4" fontId="16" fillId="0" borderId="47" xfId="0" applyNumberFormat="1" applyFont="1" applyBorder="1" applyAlignment="1">
      <alignment horizontal="right" vertical="center" wrapText="1"/>
    </xf>
    <xf numFmtId="0" fontId="16" fillId="0" borderId="32" xfId="0" quotePrefix="1" applyFont="1" applyBorder="1" applyAlignment="1">
      <alignment horizontal="center"/>
    </xf>
    <xf numFmtId="166" fontId="16" fillId="0" borderId="46" xfId="0" applyNumberFormat="1" applyFont="1" applyBorder="1" applyAlignment="1">
      <alignment horizontal="center" wrapText="1"/>
    </xf>
    <xf numFmtId="165" fontId="9" fillId="0" borderId="46" xfId="0" applyNumberFormat="1" applyFont="1" applyBorder="1" applyAlignment="1">
      <alignment horizontal="right" wrapText="1"/>
    </xf>
    <xf numFmtId="0" fontId="9" fillId="0" borderId="46" xfId="0" applyFont="1" applyBorder="1" applyAlignment="1">
      <alignment horizontal="center" wrapText="1"/>
    </xf>
    <xf numFmtId="0" fontId="9" fillId="0" borderId="47" xfId="0" applyFont="1" applyBorder="1" applyAlignment="1">
      <alignment horizontal="center" wrapText="1"/>
    </xf>
    <xf numFmtId="0" fontId="22" fillId="0" borderId="0" xfId="0" applyFont="1"/>
    <xf numFmtId="49" fontId="33" fillId="3" borderId="1" xfId="3" applyNumberFormat="1" applyFont="1" applyFill="1" applyBorder="1" applyAlignment="1">
      <alignment horizontal="center" vertical="center"/>
    </xf>
    <xf numFmtId="3" fontId="31" fillId="3" borderId="1" xfId="3" applyNumberFormat="1" applyFont="1" applyFill="1" applyBorder="1" applyAlignment="1">
      <alignment horizontal="center" vertical="center"/>
    </xf>
    <xf numFmtId="4" fontId="31" fillId="3" borderId="1" xfId="3" applyNumberFormat="1" applyFont="1" applyFill="1" applyBorder="1" applyAlignment="1">
      <alignment horizontal="center" vertical="center" wrapText="1"/>
    </xf>
    <xf numFmtId="4" fontId="9" fillId="5" borderId="1" xfId="6" applyNumberFormat="1" applyFont="1" applyFill="1" applyBorder="1" applyAlignment="1">
      <alignment horizontal="center" vertical="center"/>
    </xf>
    <xf numFmtId="49" fontId="33" fillId="4" borderId="1" xfId="3" applyNumberFormat="1" applyFont="1" applyFill="1" applyBorder="1" applyAlignment="1">
      <alignment horizontal="center" vertical="center"/>
    </xf>
    <xf numFmtId="3" fontId="31" fillId="4" borderId="1" xfId="3" applyNumberFormat="1" applyFont="1" applyFill="1" applyBorder="1" applyAlignment="1">
      <alignment horizontal="center" vertical="center"/>
    </xf>
    <xf numFmtId="4" fontId="31" fillId="4" borderId="1" xfId="3" applyNumberFormat="1" applyFont="1" applyFill="1" applyBorder="1" applyAlignment="1">
      <alignment horizontal="center" vertical="center" wrapText="1"/>
    </xf>
    <xf numFmtId="0" fontId="4" fillId="4" borderId="0" xfId="3" applyFill="1"/>
    <xf numFmtId="4" fontId="31" fillId="4" borderId="1" xfId="1" applyNumberFormat="1" applyFont="1" applyFill="1" applyBorder="1" applyAlignment="1">
      <alignment horizontal="center" vertical="center"/>
    </xf>
    <xf numFmtId="4" fontId="34" fillId="4" borderId="1" xfId="3" applyNumberFormat="1" applyFont="1" applyFill="1" applyBorder="1" applyAlignment="1">
      <alignment horizontal="left" wrapText="1"/>
    </xf>
    <xf numFmtId="49" fontId="35" fillId="4" borderId="15" xfId="6" applyNumberFormat="1" applyFont="1" applyFill="1" applyBorder="1" applyAlignment="1">
      <alignment horizontal="center" vertical="center"/>
    </xf>
    <xf numFmtId="0" fontId="9" fillId="4" borderId="1" xfId="6" applyFont="1" applyFill="1" applyBorder="1" applyAlignment="1">
      <alignment horizontal="center" vertical="center"/>
    </xf>
    <xf numFmtId="4" fontId="9" fillId="4" borderId="1" xfId="6" applyNumberFormat="1" applyFont="1" applyFill="1" applyBorder="1" applyAlignment="1">
      <alignment horizontal="center" vertical="center"/>
    </xf>
    <xf numFmtId="0" fontId="34" fillId="4" borderId="0" xfId="6" applyFont="1" applyFill="1"/>
    <xf numFmtId="4" fontId="9" fillId="4" borderId="8" xfId="6" applyNumberFormat="1" applyFont="1" applyFill="1" applyBorder="1" applyAlignment="1">
      <alignment horizontal="center" vertical="center"/>
    </xf>
    <xf numFmtId="0" fontId="16" fillId="0" borderId="43" xfId="0" applyFont="1" applyBorder="1" applyAlignment="1">
      <alignment horizontal="left" vertical="center" wrapText="1"/>
    </xf>
    <xf numFmtId="3" fontId="21" fillId="0" borderId="0" xfId="1" applyNumberFormat="1" applyFont="1" applyAlignment="1">
      <alignment vertical="center"/>
    </xf>
    <xf numFmtId="3" fontId="21" fillId="0" borderId="0" xfId="1" applyNumberFormat="1" applyFont="1" applyAlignment="1">
      <alignment horizontal="left" vertical="center"/>
    </xf>
    <xf numFmtId="4" fontId="6" fillId="4" borderId="0" xfId="0" applyNumberFormat="1" applyFont="1" applyFill="1"/>
    <xf numFmtId="0" fontId="22" fillId="0" borderId="0" xfId="0" applyFont="1" applyAlignment="1">
      <alignment horizontal="right"/>
    </xf>
    <xf numFmtId="0" fontId="19" fillId="0" borderId="2" xfId="0" applyFont="1" applyBorder="1" applyAlignment="1">
      <alignment wrapText="1"/>
    </xf>
    <xf numFmtId="0" fontId="11" fillId="0" borderId="2" xfId="0" applyFont="1" applyBorder="1" applyAlignment="1">
      <alignment horizontal="right"/>
    </xf>
    <xf numFmtId="0" fontId="12" fillId="0" borderId="2" xfId="0" applyFont="1" applyBorder="1" applyAlignment="1">
      <alignment wrapText="1"/>
    </xf>
    <xf numFmtId="0" fontId="19" fillId="0" borderId="2" xfId="0" applyFont="1" applyBorder="1" applyAlignment="1">
      <alignment horizontal="left"/>
    </xf>
    <xf numFmtId="0" fontId="20" fillId="0" borderId="2" xfId="0" applyFont="1" applyBorder="1" applyAlignment="1">
      <alignment horizontal="left"/>
    </xf>
    <xf numFmtId="0" fontId="21" fillId="0" borderId="0" xfId="0" applyFont="1" applyAlignment="1">
      <alignment horizontal="center"/>
    </xf>
    <xf numFmtId="0" fontId="21" fillId="0" borderId="3" xfId="0" applyFont="1" applyBorder="1" applyAlignment="1">
      <alignment horizontal="center"/>
    </xf>
    <xf numFmtId="0" fontId="9" fillId="2" borderId="34" xfId="0" applyFont="1" applyFill="1" applyBorder="1" applyAlignment="1">
      <alignment horizontal="center" vertical="top" wrapText="1"/>
    </xf>
    <xf numFmtId="0" fontId="9" fillId="2" borderId="38" xfId="0" applyFont="1" applyFill="1" applyBorder="1" applyAlignment="1">
      <alignment horizontal="center" vertical="top" wrapText="1"/>
    </xf>
    <xf numFmtId="0" fontId="9" fillId="2" borderId="40" xfId="0" applyFont="1" applyFill="1" applyBorder="1" applyAlignment="1">
      <alignment horizontal="center" vertical="top" wrapText="1"/>
    </xf>
    <xf numFmtId="0" fontId="11" fillId="0" borderId="3" xfId="0" applyFont="1" applyBorder="1" applyAlignment="1">
      <alignment horizontal="center" wrapText="1"/>
    </xf>
    <xf numFmtId="0" fontId="11" fillId="0" borderId="3" xfId="0" applyFont="1" applyBorder="1" applyAlignment="1">
      <alignment horizontal="right"/>
    </xf>
    <xf numFmtId="0" fontId="11" fillId="0" borderId="36" xfId="0" applyFont="1" applyBorder="1" applyAlignment="1">
      <alignment horizontal="right"/>
    </xf>
    <xf numFmtId="0" fontId="12" fillId="0" borderId="2" xfId="0" applyFont="1" applyBorder="1" applyAlignment="1">
      <alignment horizontal="left" wrapText="1"/>
    </xf>
    <xf numFmtId="0" fontId="11" fillId="0" borderId="0" xfId="0" applyFont="1" applyAlignment="1">
      <alignment horizontal="center"/>
    </xf>
    <xf numFmtId="0" fontId="15" fillId="0" borderId="4" xfId="0" applyFont="1" applyBorder="1" applyAlignment="1">
      <alignment horizontal="left"/>
    </xf>
    <xf numFmtId="0" fontId="15" fillId="0" borderId="2" xfId="0" applyFont="1" applyBorder="1" applyAlignment="1">
      <alignment horizontal="left"/>
    </xf>
    <xf numFmtId="0" fontId="15" fillId="0" borderId="6" xfId="0" applyFont="1" applyBorder="1" applyAlignment="1">
      <alignment horizontal="left"/>
    </xf>
    <xf numFmtId="0" fontId="19" fillId="0" borderId="4" xfId="0" applyFont="1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9" fillId="2" borderId="17" xfId="0" applyFont="1" applyFill="1" applyBorder="1" applyAlignment="1">
      <alignment horizontal="center" vertical="top" wrapText="1"/>
    </xf>
    <xf numFmtId="0" fontId="9" fillId="2" borderId="35" xfId="0" applyFont="1" applyFill="1" applyBorder="1" applyAlignment="1">
      <alignment horizontal="center" vertical="top" wrapText="1"/>
    </xf>
    <xf numFmtId="0" fontId="9" fillId="2" borderId="27" xfId="0" applyFont="1" applyFill="1" applyBorder="1" applyAlignment="1">
      <alignment horizontal="center" vertical="top" wrapText="1"/>
    </xf>
    <xf numFmtId="0" fontId="16" fillId="0" borderId="33" xfId="0" applyFont="1" applyBorder="1" applyAlignment="1">
      <alignment horizontal="center" wrapText="1"/>
    </xf>
    <xf numFmtId="0" fontId="16" fillId="0" borderId="3" xfId="0" applyFont="1" applyBorder="1" applyAlignment="1">
      <alignment horizontal="center" wrapText="1"/>
    </xf>
    <xf numFmtId="0" fontId="16" fillId="0" borderId="28" xfId="0" applyFont="1" applyBorder="1" applyAlignment="1">
      <alignment horizontal="center" wrapText="1"/>
    </xf>
    <xf numFmtId="0" fontId="16" fillId="0" borderId="31" xfId="0" applyFont="1" applyBorder="1" applyAlignment="1">
      <alignment horizontal="center"/>
    </xf>
    <xf numFmtId="0" fontId="16" fillId="0" borderId="35" xfId="0" applyFont="1" applyBorder="1" applyAlignment="1">
      <alignment horizontal="center"/>
    </xf>
    <xf numFmtId="0" fontId="16" fillId="0" borderId="27" xfId="0" applyFont="1" applyBorder="1" applyAlignment="1">
      <alignment horizontal="center"/>
    </xf>
    <xf numFmtId="0" fontId="16" fillId="0" borderId="37" xfId="0" applyFont="1" applyBorder="1" applyAlignment="1">
      <alignment horizontal="left"/>
    </xf>
    <xf numFmtId="0" fontId="16" fillId="0" borderId="29" xfId="0" applyFont="1" applyBorder="1" applyAlignment="1">
      <alignment horizontal="center" vertical="center" wrapText="1"/>
    </xf>
    <xf numFmtId="0" fontId="16" fillId="0" borderId="39" xfId="0" applyFont="1" applyBorder="1" applyAlignment="1">
      <alignment horizontal="center" vertical="center" wrapText="1"/>
    </xf>
    <xf numFmtId="0" fontId="16" fillId="0" borderId="30" xfId="0" applyFont="1" applyBorder="1" applyAlignment="1">
      <alignment horizontal="center" vertical="center" wrapText="1"/>
    </xf>
    <xf numFmtId="165" fontId="16" fillId="0" borderId="39" xfId="0" applyNumberFormat="1" applyFont="1" applyBorder="1" applyAlignment="1">
      <alignment horizontal="center" vertical="center" wrapText="1"/>
    </xf>
    <xf numFmtId="165" fontId="16" fillId="0" borderId="30" xfId="0" applyNumberFormat="1" applyFont="1" applyBorder="1" applyAlignment="1">
      <alignment horizontal="center" vertical="center" wrapText="1"/>
    </xf>
    <xf numFmtId="0" fontId="16" fillId="0" borderId="37" xfId="0" quotePrefix="1" applyFont="1" applyBorder="1" applyAlignment="1">
      <alignment horizontal="center" vertical="center"/>
    </xf>
    <xf numFmtId="0" fontId="16" fillId="0" borderId="32" xfId="0" quotePrefix="1" applyFont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 wrapText="1"/>
    </xf>
    <xf numFmtId="0" fontId="9" fillId="2" borderId="35" xfId="0" applyFont="1" applyFill="1" applyBorder="1" applyAlignment="1">
      <alignment horizontal="center" vertical="center" wrapText="1"/>
    </xf>
    <xf numFmtId="0" fontId="9" fillId="2" borderId="27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/>
    </xf>
    <xf numFmtId="0" fontId="16" fillId="0" borderId="0" xfId="0" applyFont="1" applyAlignment="1">
      <alignment horizontal="right" vertical="center"/>
    </xf>
    <xf numFmtId="0" fontId="6" fillId="0" borderId="0" xfId="0" applyFont="1" applyAlignment="1">
      <alignment horizontal="center"/>
    </xf>
    <xf numFmtId="0" fontId="16" fillId="0" borderId="0" xfId="3" applyFont="1" applyAlignment="1">
      <alignment horizontal="left" vertical="center" wrapText="1"/>
    </xf>
    <xf numFmtId="0" fontId="16" fillId="0" borderId="0" xfId="4" applyFont="1" applyAlignment="1">
      <alignment horizontal="left" vertical="top" wrapText="1"/>
    </xf>
    <xf numFmtId="0" fontId="16" fillId="0" borderId="3" xfId="3" applyFont="1" applyBorder="1" applyAlignment="1">
      <alignment horizontal="right"/>
    </xf>
    <xf numFmtId="0" fontId="16" fillId="0" borderId="45" xfId="3" applyFont="1" applyBorder="1" applyAlignment="1">
      <alignment horizontal="left"/>
    </xf>
    <xf numFmtId="0" fontId="33" fillId="0" borderId="1" xfId="3" applyFont="1" applyBorder="1" applyAlignment="1">
      <alignment horizontal="center" vertical="center" wrapText="1"/>
    </xf>
    <xf numFmtId="49" fontId="59" fillId="0" borderId="0" xfId="3" applyNumberFormat="1" applyFont="1" applyAlignment="1">
      <alignment horizontal="center" vertical="center"/>
    </xf>
    <xf numFmtId="0" fontId="59" fillId="0" borderId="0" xfId="3" applyFont="1" applyAlignment="1">
      <alignment horizontal="center" wrapText="1"/>
    </xf>
    <xf numFmtId="49" fontId="33" fillId="0" borderId="1" xfId="3" applyNumberFormat="1" applyFont="1" applyBorder="1" applyAlignment="1">
      <alignment horizontal="center" vertical="center" wrapText="1"/>
    </xf>
    <xf numFmtId="49" fontId="33" fillId="0" borderId="1" xfId="3" applyNumberFormat="1" applyFont="1" applyBorder="1" applyAlignment="1">
      <alignment vertical="center" wrapText="1"/>
    </xf>
    <xf numFmtId="0" fontId="9" fillId="0" borderId="5" xfId="3" applyFont="1" applyBorder="1" applyAlignment="1">
      <alignment horizontal="center" vertical="center"/>
    </xf>
    <xf numFmtId="0" fontId="9" fillId="0" borderId="46" xfId="3" applyFont="1" applyBorder="1" applyAlignment="1">
      <alignment horizontal="center" vertical="center"/>
    </xf>
    <xf numFmtId="0" fontId="30" fillId="0" borderId="0" xfId="6" applyFont="1" applyAlignment="1">
      <alignment horizontal="center" vertical="center" wrapText="1"/>
    </xf>
    <xf numFmtId="0" fontId="24" fillId="0" borderId="3" xfId="6" applyFont="1" applyBorder="1" applyAlignment="1">
      <alignment horizontal="center"/>
    </xf>
    <xf numFmtId="0" fontId="26" fillId="0" borderId="45" xfId="6" applyFont="1" applyBorder="1" applyAlignment="1">
      <alignment horizontal="center"/>
    </xf>
    <xf numFmtId="0" fontId="30" fillId="0" borderId="0" xfId="6" applyFont="1" applyAlignment="1">
      <alignment horizontal="center" wrapText="1"/>
    </xf>
    <xf numFmtId="0" fontId="30" fillId="0" borderId="17" xfId="6" applyFont="1" applyBorder="1" applyAlignment="1">
      <alignment horizontal="center" vertical="center" wrapText="1"/>
    </xf>
    <xf numFmtId="0" fontId="30" fillId="0" borderId="35" xfId="6" applyFont="1" applyBorder="1" applyAlignment="1">
      <alignment horizontal="center" vertical="center" wrapText="1"/>
    </xf>
    <xf numFmtId="0" fontId="30" fillId="0" borderId="27" xfId="6" applyFont="1" applyBorder="1" applyAlignment="1">
      <alignment horizontal="center" vertical="center" wrapText="1"/>
    </xf>
    <xf numFmtId="0" fontId="33" fillId="0" borderId="32" xfId="6" applyFont="1" applyBorder="1" applyAlignment="1">
      <alignment horizontal="center" vertical="center" wrapText="1"/>
    </xf>
    <xf numFmtId="0" fontId="33" fillId="0" borderId="15" xfId="6" applyFont="1" applyBorder="1" applyAlignment="1">
      <alignment wrapText="1"/>
    </xf>
    <xf numFmtId="0" fontId="9" fillId="0" borderId="46" xfId="6" applyFont="1" applyBorder="1" applyAlignment="1">
      <alignment horizontal="center" vertical="center" wrapText="1"/>
    </xf>
    <xf numFmtId="0" fontId="9" fillId="0" borderId="1" xfId="6" applyFont="1" applyBorder="1" applyAlignment="1">
      <alignment horizontal="center" vertical="center" wrapText="1"/>
    </xf>
    <xf numFmtId="0" fontId="33" fillId="0" borderId="46" xfId="6" applyFont="1" applyBorder="1" applyAlignment="1">
      <alignment horizontal="center" vertical="center" wrapText="1"/>
    </xf>
    <xf numFmtId="0" fontId="33" fillId="0" borderId="1" xfId="6" applyFont="1" applyBorder="1"/>
    <xf numFmtId="0" fontId="33" fillId="0" borderId="1" xfId="6" applyFont="1" applyBorder="1" applyAlignment="1">
      <alignment horizontal="center" vertical="center" wrapText="1"/>
    </xf>
    <xf numFmtId="0" fontId="16" fillId="0" borderId="0" xfId="6" applyFont="1" applyAlignment="1">
      <alignment horizontal="center" vertical="center"/>
    </xf>
    <xf numFmtId="0" fontId="40" fillId="0" borderId="0" xfId="6" applyFont="1" applyAlignment="1">
      <alignment horizontal="left" wrapText="1"/>
    </xf>
    <xf numFmtId="0" fontId="42" fillId="0" borderId="0" xfId="6" applyFont="1" applyAlignment="1">
      <alignment horizontal="center" vertical="top"/>
    </xf>
    <xf numFmtId="0" fontId="33" fillId="0" borderId="47" xfId="6" applyFont="1" applyBorder="1" applyAlignment="1">
      <alignment horizontal="center" vertical="center" wrapText="1"/>
    </xf>
    <xf numFmtId="0" fontId="33" fillId="0" borderId="8" xfId="6" applyFont="1" applyBorder="1" applyAlignment="1">
      <alignment horizontal="center" vertical="center" wrapText="1"/>
    </xf>
    <xf numFmtId="0" fontId="34" fillId="0" borderId="15" xfId="6" applyFont="1" applyBorder="1" applyAlignment="1">
      <alignment horizontal="center"/>
    </xf>
    <xf numFmtId="0" fontId="34" fillId="0" borderId="1" xfId="6" applyFont="1" applyBorder="1" applyAlignment="1">
      <alignment horizontal="center"/>
    </xf>
    <xf numFmtId="0" fontId="34" fillId="0" borderId="8" xfId="6" applyFont="1" applyBorder="1" applyAlignment="1">
      <alignment horizontal="center"/>
    </xf>
    <xf numFmtId="0" fontId="33" fillId="0" borderId="15" xfId="6" applyFont="1" applyBorder="1" applyAlignment="1">
      <alignment horizontal="center" vertical="center" wrapText="1"/>
    </xf>
    <xf numFmtId="0" fontId="33" fillId="0" borderId="1" xfId="6" applyFont="1" applyBorder="1" applyAlignment="1">
      <alignment horizontal="center" vertical="center"/>
    </xf>
    <xf numFmtId="0" fontId="33" fillId="0" borderId="8" xfId="6" applyFont="1" applyBorder="1" applyAlignment="1">
      <alignment horizontal="center" vertical="center"/>
    </xf>
    <xf numFmtId="0" fontId="9" fillId="0" borderId="0" xfId="1" applyFont="1" applyAlignment="1">
      <alignment horizontal="left" vertical="center" wrapText="1"/>
    </xf>
    <xf numFmtId="3" fontId="21" fillId="0" borderId="0" xfId="7" applyNumberFormat="1" applyFont="1" applyAlignment="1">
      <alignment horizontal="center" vertical="center"/>
    </xf>
    <xf numFmtId="0" fontId="9" fillId="0" borderId="1" xfId="1" applyFont="1" applyBorder="1" applyAlignment="1">
      <alignment horizontal="center" vertical="center" wrapText="1"/>
    </xf>
    <xf numFmtId="0" fontId="64" fillId="0" borderId="1" xfId="1" applyFont="1" applyBorder="1" applyAlignment="1">
      <alignment horizontal="center" vertical="top" wrapText="1"/>
    </xf>
    <xf numFmtId="165" fontId="41" fillId="0" borderId="4" xfId="7" applyNumberFormat="1" applyFont="1" applyBorder="1" applyAlignment="1">
      <alignment horizontal="center" vertical="center"/>
    </xf>
    <xf numFmtId="165" fontId="41" fillId="0" borderId="2" xfId="7" applyNumberFormat="1" applyFont="1" applyBorder="1" applyAlignment="1">
      <alignment horizontal="center" vertical="center"/>
    </xf>
    <xf numFmtId="165" fontId="41" fillId="0" borderId="6" xfId="7" applyNumberFormat="1" applyFont="1" applyBorder="1" applyAlignment="1">
      <alignment horizontal="center" vertical="center"/>
    </xf>
    <xf numFmtId="0" fontId="9" fillId="4" borderId="4" xfId="1" applyFont="1" applyFill="1" applyBorder="1" applyAlignment="1">
      <alignment horizontal="center" vertical="center" wrapText="1"/>
    </xf>
    <xf numFmtId="0" fontId="9" fillId="4" borderId="2" xfId="1" applyFont="1" applyFill="1" applyBorder="1" applyAlignment="1">
      <alignment horizontal="center" vertical="center" wrapText="1"/>
    </xf>
    <xf numFmtId="0" fontId="9" fillId="4" borderId="6" xfId="1" applyFont="1" applyFill="1" applyBorder="1" applyAlignment="1">
      <alignment horizontal="center" vertical="center" wrapText="1"/>
    </xf>
    <xf numFmtId="0" fontId="9" fillId="0" borderId="48" xfId="7" applyFont="1" applyBorder="1" applyAlignment="1">
      <alignment horizontal="center" vertical="center" wrapText="1"/>
    </xf>
    <xf numFmtId="0" fontId="9" fillId="0" borderId="49" xfId="7" applyFont="1" applyBorder="1" applyAlignment="1">
      <alignment horizontal="center" vertical="center" wrapText="1"/>
    </xf>
    <xf numFmtId="0" fontId="9" fillId="0" borderId="33" xfId="7" applyFont="1" applyBorder="1" applyAlignment="1">
      <alignment horizontal="center" vertical="center" wrapText="1"/>
    </xf>
    <xf numFmtId="0" fontId="9" fillId="0" borderId="36" xfId="7" applyFont="1" applyBorder="1" applyAlignment="1">
      <alignment horizontal="center" vertical="center" wrapText="1"/>
    </xf>
    <xf numFmtId="0" fontId="32" fillId="4" borderId="4" xfId="1" applyFont="1" applyFill="1" applyBorder="1" applyAlignment="1">
      <alignment horizontal="left" vertical="center" wrapText="1"/>
    </xf>
    <xf numFmtId="0" fontId="32" fillId="4" borderId="6" xfId="1" applyFont="1" applyFill="1" applyBorder="1" applyAlignment="1">
      <alignment horizontal="left" vertical="center" wrapText="1"/>
    </xf>
    <xf numFmtId="0" fontId="9" fillId="0" borderId="0" xfId="1" applyFont="1" applyAlignment="1">
      <alignment horizontal="left" vertical="center"/>
    </xf>
    <xf numFmtId="0" fontId="36" fillId="0" borderId="0" xfId="7" applyFont="1" applyAlignment="1">
      <alignment horizontal="left" vertical="top"/>
    </xf>
    <xf numFmtId="164" fontId="59" fillId="0" borderId="0" xfId="8" applyFont="1" applyFill="1" applyBorder="1" applyAlignment="1">
      <alignment horizontal="center" vertical="center" wrapText="1"/>
    </xf>
    <xf numFmtId="0" fontId="62" fillId="0" borderId="0" xfId="1" applyFont="1" applyAlignment="1">
      <alignment horizontal="center" vertical="center"/>
    </xf>
    <xf numFmtId="0" fontId="9" fillId="0" borderId="1" xfId="7" applyFont="1" applyBorder="1" applyAlignment="1">
      <alignment horizontal="center" vertical="center" wrapText="1"/>
    </xf>
    <xf numFmtId="3" fontId="21" fillId="0" borderId="0" xfId="1" applyNumberFormat="1" applyFont="1" applyAlignment="1">
      <alignment horizontal="center" vertical="center"/>
    </xf>
    <xf numFmtId="0" fontId="31" fillId="0" borderId="0" xfId="7" applyFont="1" applyAlignment="1">
      <alignment horizontal="left"/>
    </xf>
    <xf numFmtId="0" fontId="41" fillId="0" borderId="3" xfId="7" applyFont="1" applyBorder="1" applyAlignment="1">
      <alignment horizontal="left" vertical="center"/>
    </xf>
    <xf numFmtId="0" fontId="34" fillId="0" borderId="0" xfId="7" applyFont="1" applyAlignment="1">
      <alignment horizontal="center" vertical="top"/>
    </xf>
    <xf numFmtId="0" fontId="36" fillId="0" borderId="0" xfId="7" applyFont="1" applyAlignment="1">
      <alignment horizontal="center" vertical="top"/>
    </xf>
    <xf numFmtId="0" fontId="31" fillId="0" borderId="3" xfId="7" applyFont="1" applyBorder="1" applyAlignment="1">
      <alignment horizontal="right"/>
    </xf>
    <xf numFmtId="0" fontId="61" fillId="0" borderId="3" xfId="7" applyFont="1" applyBorder="1" applyAlignment="1">
      <alignment horizontal="right"/>
    </xf>
    <xf numFmtId="0" fontId="33" fillId="0" borderId="4" xfId="11" applyFont="1" applyBorder="1" applyAlignment="1">
      <alignment horizontal="center" vertical="center"/>
    </xf>
    <xf numFmtId="0" fontId="33" fillId="0" borderId="2" xfId="11" applyFont="1" applyBorder="1" applyAlignment="1">
      <alignment horizontal="center" vertical="center"/>
    </xf>
    <xf numFmtId="0" fontId="33" fillId="0" borderId="6" xfId="11" applyFont="1" applyBorder="1" applyAlignment="1">
      <alignment horizontal="center" vertical="center"/>
    </xf>
    <xf numFmtId="0" fontId="33" fillId="0" borderId="4" xfId="11" applyFont="1" applyBorder="1" applyAlignment="1">
      <alignment horizontal="left" vertical="center" wrapText="1"/>
    </xf>
    <xf numFmtId="0" fontId="33" fillId="0" borderId="6" xfId="11" applyFont="1" applyBorder="1" applyAlignment="1">
      <alignment horizontal="left" vertical="center" wrapText="1"/>
    </xf>
    <xf numFmtId="0" fontId="33" fillId="0" borderId="4" xfId="11" applyFont="1" applyBorder="1" applyAlignment="1">
      <alignment horizontal="left"/>
    </xf>
    <xf numFmtId="0" fontId="33" fillId="0" borderId="6" xfId="11" applyFont="1" applyBorder="1" applyAlignment="1">
      <alignment horizontal="left"/>
    </xf>
    <xf numFmtId="0" fontId="77" fillId="0" borderId="1" xfId="11" applyFont="1" applyBorder="1" applyAlignment="1">
      <alignment horizontal="center" vertical="center" wrapText="1"/>
    </xf>
    <xf numFmtId="0" fontId="34" fillId="0" borderId="1" xfId="11" applyFont="1" applyBorder="1" applyAlignment="1">
      <alignment horizontal="center" vertical="center"/>
    </xf>
    <xf numFmtId="0" fontId="33" fillId="0" borderId="4" xfId="11" applyFont="1" applyBorder="1" applyAlignment="1">
      <alignment horizontal="left" vertical="center"/>
    </xf>
    <xf numFmtId="0" fontId="33" fillId="0" borderId="2" xfId="11" applyFont="1" applyBorder="1" applyAlignment="1">
      <alignment horizontal="left" vertical="center"/>
    </xf>
    <xf numFmtId="0" fontId="71" fillId="0" borderId="0" xfId="11" applyFont="1" applyAlignment="1">
      <alignment horizontal="center"/>
    </xf>
    <xf numFmtId="0" fontId="72" fillId="0" borderId="0" xfId="11" applyFont="1" applyAlignment="1">
      <alignment horizontal="center"/>
    </xf>
    <xf numFmtId="0" fontId="73" fillId="0" borderId="0" xfId="11" applyFont="1" applyAlignment="1">
      <alignment horizontal="center"/>
    </xf>
    <xf numFmtId="0" fontId="74" fillId="0" borderId="0" xfId="11" applyFont="1" applyAlignment="1">
      <alignment horizontal="left"/>
    </xf>
    <xf numFmtId="0" fontId="77" fillId="0" borderId="1" xfId="11" applyFont="1" applyBorder="1" applyAlignment="1">
      <alignment horizontal="center" vertical="center"/>
    </xf>
    <xf numFmtId="0" fontId="11" fillId="0" borderId="0" xfId="0" applyFont="1" applyAlignment="1">
      <alignment horizontal="left" vertical="center" wrapText="1"/>
    </xf>
  </cellXfs>
  <cellStyles count="12">
    <cellStyle name="Excel Built-in Normal" xfId="5" xr:uid="{00000000-0005-0000-0000-000000000000}"/>
    <cellStyle name="Excel Built-in Normal 1" xfId="1" xr:uid="{00000000-0005-0000-0000-000001000000}"/>
    <cellStyle name="Гіперпосилання" xfId="9" builtinId="8"/>
    <cellStyle name="Денежный 2" xfId="8" xr:uid="{00000000-0005-0000-0000-000003000000}"/>
    <cellStyle name="Звичайний" xfId="0" builtinId="0"/>
    <cellStyle name="Обычный 2" xfId="2" xr:uid="{00000000-0005-0000-0000-000005000000}"/>
    <cellStyle name="Обычный 2 2" xfId="4" xr:uid="{00000000-0005-0000-0000-000006000000}"/>
    <cellStyle name="Обычный 3" xfId="3" xr:uid="{00000000-0005-0000-0000-000007000000}"/>
    <cellStyle name="Обычный 4" xfId="6" xr:uid="{00000000-0005-0000-0000-000008000000}"/>
    <cellStyle name="Обычный 5" xfId="7" xr:uid="{00000000-0005-0000-0000-000009000000}"/>
    <cellStyle name="Обычный 6" xfId="11" xr:uid="{00000000-0005-0000-0000-00000A000000}"/>
    <cellStyle name="Процентный 2" xfId="10" xr:uid="{00000000-0005-0000-0000-00000B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M109"/>
  <sheetViews>
    <sheetView tabSelected="1" view="pageBreakPreview" topLeftCell="A99" zoomScale="75" zoomScaleNormal="75" zoomScaleSheetLayoutView="75" workbookViewId="0">
      <selection activeCell="F6" sqref="F6:I6"/>
    </sheetView>
  </sheetViews>
  <sheetFormatPr defaultColWidth="11" defaultRowHeight="15" x14ac:dyDescent="0.2"/>
  <cols>
    <col min="1" max="1" width="34.140625" style="37" customWidth="1"/>
    <col min="2" max="2" width="8.28515625" style="4" customWidth="1"/>
    <col min="3" max="4" width="11" style="4" customWidth="1"/>
    <col min="5" max="5" width="11.7109375" style="14" customWidth="1"/>
    <col min="6" max="6" width="10.85546875" style="12" customWidth="1"/>
    <col min="7" max="7" width="11.5703125" style="12" customWidth="1"/>
    <col min="8" max="8" width="12" style="12" customWidth="1"/>
    <col min="9" max="9" width="12.85546875" style="12" customWidth="1"/>
    <col min="10" max="10" width="33" style="12" customWidth="1"/>
    <col min="11" max="16384" width="11" style="12"/>
  </cols>
  <sheetData>
    <row r="1" spans="1:13" ht="15.75" hidden="1" customHeight="1" x14ac:dyDescent="0.3">
      <c r="A1" s="89"/>
      <c r="B1" s="32"/>
      <c r="C1" s="32" t="e">
        <f>#REF!/1000</f>
        <v>#REF!</v>
      </c>
      <c r="D1" s="32"/>
      <c r="E1" s="33"/>
      <c r="F1" s="33" t="e">
        <f>#REF!/1000</f>
        <v>#REF!</v>
      </c>
      <c r="G1" s="33"/>
      <c r="H1" s="33"/>
      <c r="I1" s="33" t="e">
        <f>#REF!/1000</f>
        <v>#REF!</v>
      </c>
      <c r="J1" s="33"/>
      <c r="K1" s="33" t="e">
        <f>#REF!/1000</f>
        <v>#REF!</v>
      </c>
      <c r="L1" s="33"/>
      <c r="M1" s="33"/>
    </row>
    <row r="2" spans="1:13" ht="15.75" hidden="1" customHeight="1" x14ac:dyDescent="0.25">
      <c r="A2" s="90"/>
      <c r="B2" s="5"/>
      <c r="C2" s="5"/>
      <c r="D2" s="5"/>
      <c r="E2" s="10"/>
      <c r="F2" s="543" t="s">
        <v>83</v>
      </c>
      <c r="G2" s="543"/>
      <c r="H2" s="543"/>
      <c r="I2" s="543"/>
    </row>
    <row r="3" spans="1:13" ht="15.75" hidden="1" customHeight="1" x14ac:dyDescent="0.25">
      <c r="A3" s="90"/>
      <c r="B3" s="5"/>
      <c r="C3" s="5"/>
      <c r="D3" s="5"/>
      <c r="E3" s="10"/>
      <c r="F3" s="543" t="s">
        <v>84</v>
      </c>
      <c r="G3" s="543"/>
      <c r="H3" s="543"/>
      <c r="I3" s="543"/>
    </row>
    <row r="4" spans="1:13" ht="15.75" hidden="1" customHeight="1" x14ac:dyDescent="0.25">
      <c r="A4" s="90"/>
      <c r="B4" s="5"/>
      <c r="C4" s="5"/>
      <c r="D4" s="5"/>
      <c r="E4" s="10"/>
      <c r="F4" s="543" t="s">
        <v>85</v>
      </c>
      <c r="G4" s="543"/>
      <c r="H4" s="543"/>
      <c r="I4" s="543"/>
    </row>
    <row r="5" spans="1:13" ht="11.25" hidden="1" customHeight="1" x14ac:dyDescent="0.25">
      <c r="A5" s="91"/>
      <c r="B5" s="5"/>
      <c r="C5" s="5"/>
      <c r="D5" s="5"/>
      <c r="E5" s="6"/>
      <c r="F5" s="5"/>
      <c r="G5" s="11"/>
      <c r="H5" s="11"/>
      <c r="I5" s="11"/>
    </row>
    <row r="6" spans="1:13" ht="84.75" customHeight="1" x14ac:dyDescent="0.25">
      <c r="A6" s="91"/>
      <c r="B6" s="5"/>
      <c r="C6" s="5"/>
      <c r="D6" s="5"/>
      <c r="E6" s="6"/>
      <c r="F6" s="653" t="s">
        <v>426</v>
      </c>
      <c r="G6" s="653"/>
      <c r="H6" s="653"/>
      <c r="I6" s="653"/>
    </row>
    <row r="7" spans="1:13" ht="11.25" customHeight="1" x14ac:dyDescent="0.25">
      <c r="A7" s="91"/>
      <c r="B7" s="5"/>
      <c r="C7" s="5"/>
      <c r="D7" s="5"/>
      <c r="E7" s="6"/>
      <c r="F7" s="5"/>
      <c r="G7" s="11"/>
      <c r="H7" s="11"/>
      <c r="I7" s="11"/>
    </row>
    <row r="8" spans="1:13" ht="15.75" x14ac:dyDescent="0.25">
      <c r="A8" s="92"/>
      <c r="B8" s="5"/>
      <c r="C8" s="5"/>
      <c r="D8" s="5"/>
      <c r="E8" s="6"/>
      <c r="F8" s="543"/>
      <c r="G8" s="543"/>
      <c r="H8" s="543"/>
      <c r="I8" s="1" t="s">
        <v>36</v>
      </c>
    </row>
    <row r="9" spans="1:13" ht="15.75" x14ac:dyDescent="0.25">
      <c r="A9" s="92" t="s">
        <v>3</v>
      </c>
      <c r="B9" s="5"/>
      <c r="C9" s="5"/>
      <c r="D9" s="5"/>
      <c r="E9" s="10"/>
      <c r="F9" s="5"/>
      <c r="G9" s="5"/>
      <c r="H9" s="13" t="s">
        <v>37</v>
      </c>
      <c r="I9" s="1">
        <v>2024</v>
      </c>
    </row>
    <row r="10" spans="1:13" ht="36" customHeight="1" x14ac:dyDescent="0.25">
      <c r="A10" s="539" t="s">
        <v>140</v>
      </c>
      <c r="B10" s="539"/>
      <c r="C10" s="539"/>
      <c r="D10" s="539"/>
      <c r="E10" s="539"/>
      <c r="F10" s="539"/>
      <c r="G10" s="540" t="s">
        <v>4</v>
      </c>
      <c r="H10" s="541"/>
      <c r="I10" s="1">
        <v>41779965</v>
      </c>
    </row>
    <row r="11" spans="1:13" ht="15.75" x14ac:dyDescent="0.25">
      <c r="A11" s="15" t="s">
        <v>24</v>
      </c>
      <c r="B11" s="531" t="s">
        <v>76</v>
      </c>
      <c r="C11" s="531"/>
      <c r="D11" s="531"/>
      <c r="E11" s="531"/>
      <c r="F11" s="531"/>
      <c r="G11" s="530" t="s">
        <v>15</v>
      </c>
      <c r="H11" s="530"/>
      <c r="I11" s="1">
        <v>150</v>
      </c>
    </row>
    <row r="12" spans="1:13" ht="15.75" x14ac:dyDescent="0.25">
      <c r="A12" s="15" t="s">
        <v>38</v>
      </c>
      <c r="B12" s="542" t="s">
        <v>85</v>
      </c>
      <c r="C12" s="542"/>
      <c r="D12" s="542"/>
      <c r="E12" s="542"/>
      <c r="F12" s="542"/>
      <c r="G12" s="530" t="s">
        <v>39</v>
      </c>
      <c r="H12" s="530"/>
      <c r="I12" s="1">
        <v>511700000</v>
      </c>
    </row>
    <row r="13" spans="1:13" ht="15.75" x14ac:dyDescent="0.25">
      <c r="A13" s="15" t="s">
        <v>101</v>
      </c>
      <c r="B13" s="529" t="s">
        <v>102</v>
      </c>
      <c r="C13" s="529"/>
      <c r="D13" s="529"/>
      <c r="E13" s="529"/>
      <c r="F13" s="529"/>
      <c r="G13" s="530"/>
      <c r="H13" s="530"/>
      <c r="I13" s="1"/>
    </row>
    <row r="14" spans="1:13" ht="15.75" x14ac:dyDescent="0.25">
      <c r="A14" s="15" t="s">
        <v>26</v>
      </c>
      <c r="B14" s="531" t="s">
        <v>103</v>
      </c>
      <c r="C14" s="531"/>
      <c r="D14" s="531"/>
      <c r="E14" s="531"/>
      <c r="F14" s="531"/>
      <c r="G14" s="530"/>
      <c r="H14" s="530"/>
      <c r="I14" s="1"/>
    </row>
    <row r="15" spans="1:13" ht="15.75" x14ac:dyDescent="0.25">
      <c r="A15" s="15" t="s">
        <v>25</v>
      </c>
      <c r="B15" s="531"/>
      <c r="C15" s="531"/>
      <c r="D15" s="531"/>
      <c r="E15" s="531"/>
      <c r="F15" s="531"/>
      <c r="G15" s="530" t="s">
        <v>5</v>
      </c>
      <c r="H15" s="530"/>
      <c r="I15" s="1" t="s">
        <v>77</v>
      </c>
    </row>
    <row r="16" spans="1:13" ht="15.75" x14ac:dyDescent="0.25">
      <c r="A16" s="15" t="s">
        <v>104</v>
      </c>
      <c r="B16" s="531" t="s">
        <v>105</v>
      </c>
      <c r="C16" s="531"/>
      <c r="D16" s="531"/>
      <c r="E16" s="531"/>
      <c r="F16" s="531"/>
      <c r="G16" s="530"/>
      <c r="H16" s="530"/>
      <c r="I16" s="1"/>
    </row>
    <row r="17" spans="1:9" ht="15.75" x14ac:dyDescent="0.25">
      <c r="A17" s="15" t="s">
        <v>40</v>
      </c>
      <c r="B17" s="531" t="s">
        <v>106</v>
      </c>
      <c r="C17" s="531"/>
      <c r="D17" s="531"/>
      <c r="E17" s="531"/>
      <c r="F17" s="531"/>
      <c r="G17" s="530"/>
      <c r="H17" s="530"/>
      <c r="I17" s="1"/>
    </row>
    <row r="18" spans="1:9" ht="15.75" x14ac:dyDescent="0.25">
      <c r="A18" s="15" t="s">
        <v>41</v>
      </c>
      <c r="B18" s="34">
        <v>60</v>
      </c>
      <c r="C18" s="7"/>
      <c r="D18" s="7"/>
      <c r="E18" s="8"/>
      <c r="F18" s="35"/>
      <c r="G18" s="2"/>
      <c r="H18" s="2"/>
      <c r="I18" s="1"/>
    </row>
    <row r="19" spans="1:9" ht="15.75" x14ac:dyDescent="0.25">
      <c r="A19" s="15" t="s">
        <v>21</v>
      </c>
      <c r="B19" s="532" t="s">
        <v>156</v>
      </c>
      <c r="C19" s="533"/>
      <c r="D19" s="533"/>
      <c r="E19" s="533"/>
      <c r="F19" s="533"/>
      <c r="G19" s="3"/>
      <c r="H19" s="3"/>
      <c r="I19" s="36"/>
    </row>
    <row r="20" spans="1:9" ht="15.75" x14ac:dyDescent="0.25">
      <c r="A20" s="15" t="s">
        <v>22</v>
      </c>
      <c r="B20" s="547"/>
      <c r="C20" s="548"/>
      <c r="D20" s="548"/>
      <c r="E20" s="548"/>
      <c r="F20" s="548"/>
      <c r="G20" s="548"/>
      <c r="H20" s="549"/>
      <c r="I20" s="36"/>
    </row>
    <row r="21" spans="1:9" ht="15.75" x14ac:dyDescent="0.25">
      <c r="A21" s="15" t="s">
        <v>23</v>
      </c>
      <c r="B21" s="544" t="s">
        <v>423</v>
      </c>
      <c r="C21" s="545"/>
      <c r="D21" s="545"/>
      <c r="E21" s="545"/>
      <c r="F21" s="545"/>
      <c r="G21" s="545"/>
      <c r="H21" s="546"/>
      <c r="I21" s="36"/>
    </row>
    <row r="22" spans="1:9" ht="11.25" customHeight="1" x14ac:dyDescent="0.2"/>
    <row r="23" spans="1:9" ht="20.25" x14ac:dyDescent="0.3">
      <c r="A23" s="534" t="s">
        <v>422</v>
      </c>
      <c r="B23" s="534"/>
      <c r="C23" s="534"/>
      <c r="D23" s="534"/>
      <c r="E23" s="534"/>
      <c r="F23" s="534"/>
      <c r="G23" s="534"/>
      <c r="H23" s="534"/>
      <c r="I23" s="534"/>
    </row>
    <row r="24" spans="1:9" ht="21" thickBot="1" x14ac:dyDescent="0.35">
      <c r="A24" s="535" t="s">
        <v>385</v>
      </c>
      <c r="B24" s="535"/>
      <c r="C24" s="535"/>
      <c r="D24" s="535"/>
      <c r="E24" s="535"/>
      <c r="F24" s="535"/>
      <c r="G24" s="535"/>
      <c r="H24" s="535"/>
      <c r="I24" s="535"/>
    </row>
    <row r="25" spans="1:9" ht="18.75" customHeight="1" thickBot="1" x14ac:dyDescent="0.25">
      <c r="A25" s="536" t="s">
        <v>42</v>
      </c>
      <c r="B25" s="537"/>
      <c r="C25" s="537"/>
      <c r="D25" s="537"/>
      <c r="E25" s="537"/>
      <c r="F25" s="537"/>
      <c r="G25" s="537"/>
      <c r="H25" s="537"/>
      <c r="I25" s="538"/>
    </row>
    <row r="26" spans="1:9" ht="16.5" customHeight="1" thickBot="1" x14ac:dyDescent="0.25">
      <c r="A26" s="550" t="s">
        <v>43</v>
      </c>
      <c r="B26" s="551"/>
      <c r="C26" s="551"/>
      <c r="D26" s="551"/>
      <c r="E26" s="551"/>
      <c r="F26" s="551"/>
      <c r="G26" s="551"/>
      <c r="H26" s="551"/>
      <c r="I26" s="552"/>
    </row>
    <row r="27" spans="1:9" ht="18.600000000000001" customHeight="1" x14ac:dyDescent="0.25">
      <c r="A27" s="559"/>
      <c r="B27" s="560" t="s">
        <v>27</v>
      </c>
      <c r="C27" s="561" t="s">
        <v>386</v>
      </c>
      <c r="D27" s="561" t="s">
        <v>387</v>
      </c>
      <c r="E27" s="563" t="s">
        <v>388</v>
      </c>
      <c r="F27" s="553" t="s">
        <v>108</v>
      </c>
      <c r="G27" s="554"/>
      <c r="H27" s="554"/>
      <c r="I27" s="555"/>
    </row>
    <row r="28" spans="1:9" ht="63.6" customHeight="1" thickBot="1" x14ac:dyDescent="0.25">
      <c r="A28" s="559"/>
      <c r="B28" s="560"/>
      <c r="C28" s="562"/>
      <c r="D28" s="562"/>
      <c r="E28" s="564"/>
      <c r="F28" s="444" t="s">
        <v>71</v>
      </c>
      <c r="G28" s="444" t="s">
        <v>72</v>
      </c>
      <c r="H28" s="444" t="s">
        <v>73</v>
      </c>
      <c r="I28" s="445" t="s">
        <v>74</v>
      </c>
    </row>
    <row r="29" spans="1:9" ht="18.600000000000001" customHeight="1" thickBot="1" x14ac:dyDescent="0.3">
      <c r="A29" s="93" t="s">
        <v>54</v>
      </c>
      <c r="B29" s="556"/>
      <c r="C29" s="557"/>
      <c r="D29" s="557"/>
      <c r="E29" s="557"/>
      <c r="F29" s="557"/>
      <c r="G29" s="557"/>
      <c r="H29" s="557"/>
      <c r="I29" s="558"/>
    </row>
    <row r="30" spans="1:9" ht="45.75" customHeight="1" x14ac:dyDescent="0.25">
      <c r="A30" s="38" t="s">
        <v>44</v>
      </c>
      <c r="B30" s="39" t="s">
        <v>16</v>
      </c>
      <c r="C30" s="40"/>
      <c r="D30" s="40"/>
      <c r="E30" s="41"/>
      <c r="F30" s="41"/>
      <c r="G30" s="41"/>
      <c r="H30" s="41"/>
      <c r="I30" s="42"/>
    </row>
    <row r="31" spans="1:9" ht="20.45" customHeight="1" x14ac:dyDescent="0.25">
      <c r="A31" s="43" t="s">
        <v>33</v>
      </c>
      <c r="B31" s="44" t="s">
        <v>17</v>
      </c>
      <c r="C31" s="45"/>
      <c r="D31" s="45"/>
      <c r="E31" s="46"/>
      <c r="F31" s="46"/>
      <c r="G31" s="46"/>
      <c r="H31" s="46"/>
      <c r="I31" s="47"/>
    </row>
    <row r="32" spans="1:9" ht="20.45" customHeight="1" x14ac:dyDescent="0.25">
      <c r="A32" s="43" t="s">
        <v>45</v>
      </c>
      <c r="B32" s="44" t="s">
        <v>18</v>
      </c>
      <c r="C32" s="45"/>
      <c r="D32" s="45"/>
      <c r="E32" s="46"/>
      <c r="F32" s="46"/>
      <c r="G32" s="46"/>
      <c r="H32" s="46"/>
      <c r="I32" s="47"/>
    </row>
    <row r="33" spans="1:10" ht="31.5" x14ac:dyDescent="0.25">
      <c r="A33" s="48" t="s">
        <v>122</v>
      </c>
      <c r="B33" s="44" t="s">
        <v>19</v>
      </c>
      <c r="C33" s="45"/>
      <c r="D33" s="45"/>
      <c r="E33" s="46"/>
      <c r="F33" s="46"/>
      <c r="G33" s="46"/>
      <c r="H33" s="46"/>
      <c r="I33" s="47"/>
    </row>
    <row r="34" spans="1:10" s="16" customFormat="1" ht="47.45" customHeight="1" x14ac:dyDescent="0.25">
      <c r="A34" s="49" t="s">
        <v>98</v>
      </c>
      <c r="B34" s="44" t="s">
        <v>46</v>
      </c>
      <c r="C34" s="45"/>
      <c r="D34" s="45"/>
      <c r="E34" s="46"/>
      <c r="F34" s="46"/>
      <c r="G34" s="46"/>
      <c r="H34" s="46"/>
      <c r="I34" s="47"/>
    </row>
    <row r="35" spans="1:10" ht="31.5" x14ac:dyDescent="0.25">
      <c r="A35" s="48" t="s">
        <v>123</v>
      </c>
      <c r="B35" s="44" t="s">
        <v>47</v>
      </c>
      <c r="C35" s="45"/>
      <c r="D35" s="45"/>
      <c r="E35" s="46"/>
      <c r="F35" s="46"/>
      <c r="G35" s="46"/>
      <c r="H35" s="46"/>
      <c r="I35" s="47"/>
    </row>
    <row r="36" spans="1:10" ht="31.5" x14ac:dyDescent="0.25">
      <c r="A36" s="48" t="s">
        <v>124</v>
      </c>
      <c r="B36" s="44" t="s">
        <v>48</v>
      </c>
      <c r="C36" s="45"/>
      <c r="D36" s="45"/>
      <c r="E36" s="46"/>
      <c r="F36" s="46"/>
      <c r="G36" s="46"/>
      <c r="H36" s="46"/>
      <c r="I36" s="47"/>
    </row>
    <row r="37" spans="1:10" ht="47.25" x14ac:dyDescent="0.25">
      <c r="A37" s="48" t="s">
        <v>109</v>
      </c>
      <c r="B37" s="469" t="s">
        <v>78</v>
      </c>
      <c r="C37" s="31">
        <v>10900.93</v>
      </c>
      <c r="D37" s="31">
        <v>17315.21</v>
      </c>
      <c r="E37" s="50">
        <f>F37+G37+H37+I37</f>
        <v>20069.399999999998</v>
      </c>
      <c r="F37" s="46">
        <f>F43</f>
        <v>4636.32</v>
      </c>
      <c r="G37" s="46">
        <f t="shared" ref="G37:I37" si="0">G43</f>
        <v>4180.92</v>
      </c>
      <c r="H37" s="46">
        <v>5976.79</v>
      </c>
      <c r="I37" s="46">
        <f t="shared" si="0"/>
        <v>5275.37</v>
      </c>
      <c r="J37" s="30"/>
    </row>
    <row r="38" spans="1:10" ht="25.9" customHeight="1" x14ac:dyDescent="0.25">
      <c r="A38" s="48" t="s">
        <v>99</v>
      </c>
      <c r="B38" s="469" t="s">
        <v>100</v>
      </c>
      <c r="C38" s="31"/>
      <c r="D38" s="31"/>
      <c r="E38" s="50">
        <f>H38</f>
        <v>900</v>
      </c>
      <c r="F38" s="46"/>
      <c r="G38" s="46"/>
      <c r="H38" s="46">
        <v>900</v>
      </c>
      <c r="I38" s="47"/>
    </row>
    <row r="39" spans="1:10" ht="47.25" x14ac:dyDescent="0.25">
      <c r="A39" s="48" t="s">
        <v>125</v>
      </c>
      <c r="B39" s="44" t="s">
        <v>49</v>
      </c>
      <c r="C39" s="31">
        <v>1708.27</v>
      </c>
      <c r="D39" s="31">
        <v>532</v>
      </c>
      <c r="E39" s="50">
        <f>F39+G39+H39+I39</f>
        <v>531.89</v>
      </c>
      <c r="F39" s="105">
        <v>132.97999999999999</v>
      </c>
      <c r="G39" s="105">
        <v>132.97</v>
      </c>
      <c r="H39" s="105">
        <v>132.97</v>
      </c>
      <c r="I39" s="104">
        <v>132.97</v>
      </c>
    </row>
    <row r="40" spans="1:10" ht="16.5" thickBot="1" x14ac:dyDescent="0.3">
      <c r="A40" s="94" t="s">
        <v>126</v>
      </c>
      <c r="B40" s="443" t="s">
        <v>50</v>
      </c>
      <c r="C40" s="45"/>
      <c r="D40" s="45"/>
      <c r="E40" s="46"/>
      <c r="F40" s="46"/>
      <c r="G40" s="46"/>
      <c r="H40" s="46"/>
      <c r="I40" s="47"/>
    </row>
    <row r="41" spans="1:10" ht="23.45" customHeight="1" thickBot="1" x14ac:dyDescent="0.3">
      <c r="A41" s="95" t="s">
        <v>35</v>
      </c>
      <c r="B41" s="52" t="s">
        <v>110</v>
      </c>
      <c r="C41" s="53">
        <f>C37+C34+C39</f>
        <v>12609.2</v>
      </c>
      <c r="D41" s="53">
        <f t="shared" ref="D41" si="1">D37+D34+D39</f>
        <v>17847.21</v>
      </c>
      <c r="E41" s="54">
        <f>E37+E38+E39</f>
        <v>21501.289999999997</v>
      </c>
      <c r="F41" s="54">
        <f>F37+F34+F39</f>
        <v>4769.2999999999993</v>
      </c>
      <c r="G41" s="54">
        <f>G37+G34+G39</f>
        <v>4313.8900000000003</v>
      </c>
      <c r="H41" s="54">
        <f>H37+H38+H39</f>
        <v>7009.76</v>
      </c>
      <c r="I41" s="55">
        <f>I37+I34+I39</f>
        <v>5408.34</v>
      </c>
      <c r="J41" s="30"/>
    </row>
    <row r="42" spans="1:10" ht="22.9" customHeight="1" thickBot="1" x14ac:dyDescent="0.3">
      <c r="A42" s="473" t="s">
        <v>55</v>
      </c>
      <c r="B42" s="474"/>
      <c r="C42" s="475"/>
      <c r="D42" s="476"/>
      <c r="E42" s="477"/>
      <c r="F42" s="478"/>
      <c r="G42" s="478"/>
      <c r="H42" s="478"/>
      <c r="I42" s="479"/>
    </row>
    <row r="43" spans="1:10" ht="48" thickBot="1" x14ac:dyDescent="0.3">
      <c r="A43" s="96" t="s">
        <v>127</v>
      </c>
      <c r="B43" s="468" t="s">
        <v>28</v>
      </c>
      <c r="C43" s="85">
        <f>C50+C54</f>
        <v>12609.2</v>
      </c>
      <c r="D43" s="85">
        <f>D50+D54</f>
        <v>17847.21</v>
      </c>
      <c r="E43" s="86">
        <f>E44</f>
        <v>20969.399999999998</v>
      </c>
      <c r="F43" s="86">
        <f t="shared" ref="F43:I43" si="2">F44</f>
        <v>4636.32</v>
      </c>
      <c r="G43" s="86">
        <f t="shared" si="2"/>
        <v>4180.92</v>
      </c>
      <c r="H43" s="86">
        <f t="shared" si="2"/>
        <v>6876.79</v>
      </c>
      <c r="I43" s="86">
        <f t="shared" si="2"/>
        <v>5275.37</v>
      </c>
      <c r="J43" s="30"/>
    </row>
    <row r="44" spans="1:10" ht="48" thickBot="1" x14ac:dyDescent="0.3">
      <c r="A44" s="97" t="s">
        <v>128</v>
      </c>
      <c r="B44" s="468" t="s">
        <v>111</v>
      </c>
      <c r="C44" s="85">
        <f t="shared" ref="C44" si="3">C45+C46+C49+C50+C54</f>
        <v>12609.2</v>
      </c>
      <c r="D44" s="85">
        <f t="shared" ref="D44" si="4">D45+D46+D49+D50+D54</f>
        <v>17847.21</v>
      </c>
      <c r="E44" s="86">
        <f>F44+G44+H44+I44</f>
        <v>20969.399999999998</v>
      </c>
      <c r="F44" s="86">
        <f>F54</f>
        <v>4636.32</v>
      </c>
      <c r="G44" s="86">
        <f t="shared" ref="G44:I44" si="5">G54</f>
        <v>4180.92</v>
      </c>
      <c r="H44" s="86">
        <f t="shared" si="5"/>
        <v>6876.79</v>
      </c>
      <c r="I44" s="86">
        <f t="shared" si="5"/>
        <v>5275.37</v>
      </c>
    </row>
    <row r="45" spans="1:10" ht="31.5" x14ac:dyDescent="0.25">
      <c r="A45" s="38" t="s">
        <v>129</v>
      </c>
      <c r="B45" s="66" t="s">
        <v>29</v>
      </c>
      <c r="C45" s="40"/>
      <c r="D45" s="40"/>
      <c r="E45" s="41"/>
      <c r="F45" s="41"/>
      <c r="G45" s="41"/>
      <c r="H45" s="41"/>
      <c r="I45" s="42"/>
    </row>
    <row r="46" spans="1:10" ht="31.5" x14ac:dyDescent="0.25">
      <c r="A46" s="48" t="s">
        <v>130</v>
      </c>
      <c r="B46" s="443" t="s">
        <v>30</v>
      </c>
      <c r="C46" s="45"/>
      <c r="D46" s="45"/>
      <c r="E46" s="46"/>
      <c r="F46" s="46"/>
      <c r="G46" s="46"/>
      <c r="H46" s="46"/>
      <c r="I46" s="47"/>
    </row>
    <row r="47" spans="1:10" ht="15.75" x14ac:dyDescent="0.25">
      <c r="A47" s="98" t="s">
        <v>96</v>
      </c>
      <c r="B47" s="565" t="s">
        <v>30</v>
      </c>
      <c r="C47" s="45"/>
      <c r="D47" s="45"/>
      <c r="E47" s="46"/>
      <c r="F47" s="46"/>
      <c r="G47" s="46"/>
      <c r="H47" s="46"/>
      <c r="I47" s="47"/>
    </row>
    <row r="48" spans="1:10" ht="15.75" x14ac:dyDescent="0.25">
      <c r="A48" s="98" t="s">
        <v>97</v>
      </c>
      <c r="B48" s="566"/>
      <c r="C48" s="45"/>
      <c r="D48" s="45"/>
      <c r="E48" s="46"/>
      <c r="F48" s="46"/>
      <c r="G48" s="46"/>
      <c r="H48" s="46"/>
      <c r="I48" s="47"/>
    </row>
    <row r="49" spans="1:10" ht="31.5" x14ac:dyDescent="0.25">
      <c r="A49" s="48" t="s">
        <v>131</v>
      </c>
      <c r="B49" s="44" t="s">
        <v>31</v>
      </c>
      <c r="C49" s="45"/>
      <c r="D49" s="45"/>
      <c r="E49" s="46"/>
      <c r="F49" s="46"/>
      <c r="G49" s="46"/>
      <c r="H49" s="46"/>
      <c r="I49" s="47"/>
    </row>
    <row r="50" spans="1:10" ht="47.25" x14ac:dyDescent="0.25">
      <c r="A50" s="98" t="s">
        <v>132</v>
      </c>
      <c r="B50" s="44" t="s">
        <v>32</v>
      </c>
      <c r="C50" s="102">
        <f>C39</f>
        <v>1708.27</v>
      </c>
      <c r="D50" s="31">
        <v>532</v>
      </c>
      <c r="E50" s="50">
        <f>F50+G50+H50+I50</f>
        <v>531.89</v>
      </c>
      <c r="F50" s="105">
        <v>132.97999999999999</v>
      </c>
      <c r="G50" s="105">
        <v>132.97</v>
      </c>
      <c r="H50" s="105">
        <v>132.97</v>
      </c>
      <c r="I50" s="104">
        <v>132.97</v>
      </c>
    </row>
    <row r="51" spans="1:10" ht="15.75" x14ac:dyDescent="0.25">
      <c r="A51" s="98" t="s">
        <v>107</v>
      </c>
      <c r="B51" s="51" t="s">
        <v>34</v>
      </c>
      <c r="C51" s="103"/>
      <c r="D51" s="45"/>
      <c r="E51" s="46"/>
      <c r="F51" s="46"/>
      <c r="G51" s="46"/>
      <c r="H51" s="46"/>
      <c r="I51" s="61"/>
    </row>
    <row r="52" spans="1:10" ht="31.5" x14ac:dyDescent="0.25">
      <c r="A52" s="87" t="s">
        <v>133</v>
      </c>
      <c r="B52" s="44" t="s">
        <v>51</v>
      </c>
      <c r="C52" s="103"/>
      <c r="D52" s="45"/>
      <c r="E52" s="46"/>
      <c r="F52" s="46"/>
      <c r="G52" s="46"/>
      <c r="H52" s="46"/>
      <c r="I52" s="61"/>
    </row>
    <row r="53" spans="1:10" ht="31.5" x14ac:dyDescent="0.25">
      <c r="A53" s="48" t="s">
        <v>134</v>
      </c>
      <c r="B53" s="44" t="s">
        <v>52</v>
      </c>
      <c r="C53" s="46"/>
      <c r="D53" s="46"/>
      <c r="E53" s="46"/>
      <c r="F53" s="46"/>
      <c r="G53" s="46"/>
      <c r="H53" s="46"/>
      <c r="I53" s="61"/>
    </row>
    <row r="54" spans="1:10" ht="48.75" customHeight="1" x14ac:dyDescent="0.25">
      <c r="A54" s="49" t="s">
        <v>86</v>
      </c>
      <c r="B54" s="57" t="s">
        <v>79</v>
      </c>
      <c r="C54" s="50">
        <f t="shared" ref="C54:D54" si="6">C56+C66</f>
        <v>10900.93</v>
      </c>
      <c r="D54" s="50">
        <f t="shared" si="6"/>
        <v>17315.21</v>
      </c>
      <c r="E54" s="50">
        <f>E56+E66</f>
        <v>20969.400000000001</v>
      </c>
      <c r="F54" s="50">
        <f t="shared" ref="F54" si="7">F56</f>
        <v>4636.32</v>
      </c>
      <c r="G54" s="50">
        <f>G56+G66</f>
        <v>4180.92</v>
      </c>
      <c r="H54" s="50">
        <f>H56+H66</f>
        <v>6876.79</v>
      </c>
      <c r="I54" s="56">
        <f>I55+I66</f>
        <v>5275.37</v>
      </c>
    </row>
    <row r="55" spans="1:10" ht="82.5" customHeight="1" x14ac:dyDescent="0.25">
      <c r="A55" s="49" t="s">
        <v>155</v>
      </c>
      <c r="B55" s="57" t="s">
        <v>79</v>
      </c>
      <c r="C55" s="31">
        <f>C56</f>
        <v>3390.95</v>
      </c>
      <c r="D55" s="50">
        <f t="shared" ref="D55:I55" si="8">D56</f>
        <v>17315.21</v>
      </c>
      <c r="E55" s="50">
        <f t="shared" si="8"/>
        <v>20969.400000000001</v>
      </c>
      <c r="F55" s="50">
        <f t="shared" si="8"/>
        <v>4636.32</v>
      </c>
      <c r="G55" s="50">
        <f>G56</f>
        <v>4180.92</v>
      </c>
      <c r="H55" s="50">
        <f t="shared" si="8"/>
        <v>6876.79</v>
      </c>
      <c r="I55" s="56">
        <f t="shared" si="8"/>
        <v>5275.37</v>
      </c>
    </row>
    <row r="56" spans="1:10" ht="29.45" customHeight="1" x14ac:dyDescent="0.25">
      <c r="A56" s="48" t="s">
        <v>135</v>
      </c>
      <c r="B56" s="44" t="s">
        <v>87</v>
      </c>
      <c r="C56" s="58">
        <f>C57+C58+C59+C60+C61+C62+C63</f>
        <v>3390.95</v>
      </c>
      <c r="D56" s="59">
        <f>D57+D58+D59+D60+D61+D62+D63</f>
        <v>17315.21</v>
      </c>
      <c r="E56" s="59">
        <f>E57+E58+E59+E60+E61+E62+E63</f>
        <v>20969.400000000001</v>
      </c>
      <c r="F56" s="59">
        <f>F57+F58+F59+F60+F61+F62+F63</f>
        <v>4636.32</v>
      </c>
      <c r="G56" s="59">
        <f>G57+G58+G59+G60+G61+G62</f>
        <v>4180.92</v>
      </c>
      <c r="H56" s="59">
        <f>H57+H58+H59+H60+H61+H62+H63</f>
        <v>6876.79</v>
      </c>
      <c r="I56" s="60">
        <f>I57+I58+I59+I60+I61+I62+I63</f>
        <v>5275.37</v>
      </c>
      <c r="J56" s="30"/>
    </row>
    <row r="57" spans="1:10" ht="31.5" x14ac:dyDescent="0.25">
      <c r="A57" s="98" t="s">
        <v>112</v>
      </c>
      <c r="B57" s="44" t="s">
        <v>88</v>
      </c>
      <c r="C57" s="31">
        <v>2439.17</v>
      </c>
      <c r="D57" s="31">
        <v>14148.12</v>
      </c>
      <c r="E57" s="106">
        <f>F57+G57+H57+I57</f>
        <v>14946.08</v>
      </c>
      <c r="F57" s="107">
        <v>3448.2</v>
      </c>
      <c r="G57" s="46">
        <v>3448.19</v>
      </c>
      <c r="H57" s="46">
        <v>4024.84</v>
      </c>
      <c r="I57" s="47">
        <v>4024.85</v>
      </c>
      <c r="J57" s="527"/>
    </row>
    <row r="58" spans="1:10" ht="31.5" x14ac:dyDescent="0.25">
      <c r="A58" s="98" t="s">
        <v>113</v>
      </c>
      <c r="B58" s="44" t="s">
        <v>89</v>
      </c>
      <c r="C58" s="31">
        <v>537.41</v>
      </c>
      <c r="D58" s="31">
        <v>3112.59</v>
      </c>
      <c r="E58" s="106">
        <f>F58+G58+H58+I58</f>
        <v>3224.91</v>
      </c>
      <c r="F58" s="107">
        <v>726.99</v>
      </c>
      <c r="G58" s="46">
        <v>727</v>
      </c>
      <c r="H58" s="46">
        <v>885.42</v>
      </c>
      <c r="I58" s="61">
        <v>885.5</v>
      </c>
      <c r="J58" s="30"/>
    </row>
    <row r="59" spans="1:10" ht="31.5" x14ac:dyDescent="0.25">
      <c r="A59" s="98" t="s">
        <v>114</v>
      </c>
      <c r="B59" s="44" t="s">
        <v>90</v>
      </c>
      <c r="C59" s="31">
        <v>384.05</v>
      </c>
      <c r="D59" s="31">
        <v>13.14</v>
      </c>
      <c r="E59" s="106">
        <f t="shared" ref="E59:E61" si="9">F59+G59+H59+I59</f>
        <v>1181.9100000000001</v>
      </c>
      <c r="F59" s="46">
        <v>446.44</v>
      </c>
      <c r="G59" s="448"/>
      <c r="H59" s="46">
        <v>735.47</v>
      </c>
      <c r="I59" s="47"/>
    </row>
    <row r="60" spans="1:10" ht="47.25" x14ac:dyDescent="0.25">
      <c r="A60" s="98" t="s">
        <v>136</v>
      </c>
      <c r="B60" s="44" t="s">
        <v>91</v>
      </c>
      <c r="C60" s="31">
        <v>9.16</v>
      </c>
      <c r="D60" s="31">
        <v>28.07</v>
      </c>
      <c r="E60" s="106">
        <f t="shared" si="9"/>
        <v>654.15</v>
      </c>
      <c r="F60" s="107">
        <v>7.3</v>
      </c>
      <c r="G60" s="46">
        <v>5.65</v>
      </c>
      <c r="H60" s="46">
        <v>283.58</v>
      </c>
      <c r="I60" s="47">
        <v>357.62</v>
      </c>
    </row>
    <row r="61" spans="1:10" ht="31.5" x14ac:dyDescent="0.25">
      <c r="A61" s="98" t="s">
        <v>137</v>
      </c>
      <c r="B61" s="44" t="s">
        <v>92</v>
      </c>
      <c r="C61" s="31">
        <v>21.16</v>
      </c>
      <c r="D61" s="31">
        <v>13.29</v>
      </c>
      <c r="E61" s="106">
        <f t="shared" si="9"/>
        <v>14.95</v>
      </c>
      <c r="F61" s="46">
        <v>7.39</v>
      </c>
      <c r="G61" s="46">
        <v>0.08</v>
      </c>
      <c r="H61" s="46">
        <v>0.08</v>
      </c>
      <c r="I61" s="47">
        <v>7.4</v>
      </c>
    </row>
    <row r="62" spans="1:10" s="16" customFormat="1" ht="15.75" x14ac:dyDescent="0.25">
      <c r="A62" s="98" t="s">
        <v>93</v>
      </c>
      <c r="B62" s="44" t="s">
        <v>94</v>
      </c>
      <c r="C62" s="31"/>
      <c r="D62" s="31"/>
      <c r="E62" s="50">
        <v>47.4</v>
      </c>
      <c r="F62" s="46"/>
      <c r="G62" s="62"/>
      <c r="H62" s="46">
        <v>47.4</v>
      </c>
      <c r="I62" s="47"/>
      <c r="J62" s="12"/>
    </row>
    <row r="63" spans="1:10" ht="15.75" x14ac:dyDescent="0.25">
      <c r="A63" s="99" t="s">
        <v>115</v>
      </c>
      <c r="B63" s="44" t="s">
        <v>95</v>
      </c>
      <c r="C63" s="120"/>
      <c r="D63" s="31"/>
      <c r="E63" s="50">
        <v>900</v>
      </c>
      <c r="F63" s="50"/>
      <c r="G63" s="50"/>
      <c r="H63" s="50">
        <v>900</v>
      </c>
      <c r="I63" s="56"/>
    </row>
    <row r="64" spans="1:10" ht="15.75" x14ac:dyDescent="0.25">
      <c r="A64" s="94" t="s">
        <v>138</v>
      </c>
      <c r="B64" s="443" t="s">
        <v>53</v>
      </c>
      <c r="C64" s="63"/>
      <c r="D64" s="63"/>
      <c r="E64" s="64"/>
      <c r="F64" s="64"/>
      <c r="G64" s="64"/>
      <c r="H64" s="64"/>
      <c r="I64" s="109"/>
    </row>
    <row r="65" spans="1:10" ht="143.25" customHeight="1" x14ac:dyDescent="0.25">
      <c r="A65" s="73" t="s">
        <v>157</v>
      </c>
      <c r="B65" s="443" t="s">
        <v>1</v>
      </c>
      <c r="C65" s="63">
        <f>C66</f>
        <v>7509.9800000000005</v>
      </c>
      <c r="D65" s="63">
        <f>D66</f>
        <v>0</v>
      </c>
      <c r="E65" s="64">
        <f>E66</f>
        <v>0</v>
      </c>
      <c r="F65" s="64">
        <f t="shared" ref="F65:I65" si="10">F66</f>
        <v>0</v>
      </c>
      <c r="G65" s="64">
        <f t="shared" si="10"/>
        <v>0</v>
      </c>
      <c r="H65" s="64">
        <f t="shared" si="10"/>
        <v>0</v>
      </c>
      <c r="I65" s="109">
        <f t="shared" si="10"/>
        <v>0</v>
      </c>
    </row>
    <row r="66" spans="1:10" ht="15.75" x14ac:dyDescent="0.25">
      <c r="A66" s="48" t="s">
        <v>135</v>
      </c>
      <c r="B66" s="44" t="s">
        <v>141</v>
      </c>
      <c r="C66" s="114">
        <f>C69+C67+C68+C70</f>
        <v>7509.9800000000005</v>
      </c>
      <c r="D66" s="446">
        <v>0</v>
      </c>
      <c r="E66" s="114">
        <f>E69+E67+E68+E70</f>
        <v>0</v>
      </c>
      <c r="F66" s="114">
        <f t="shared" ref="F66" si="11">F69</f>
        <v>0</v>
      </c>
      <c r="G66" s="114">
        <f>G69+G67+G68+G70</f>
        <v>0</v>
      </c>
      <c r="H66" s="114">
        <f>H69+H67+H68+H70</f>
        <v>0</v>
      </c>
      <c r="I66" s="115">
        <f>I67+I68</f>
        <v>0</v>
      </c>
    </row>
    <row r="67" spans="1:10" ht="31.5" x14ac:dyDescent="0.25">
      <c r="A67" s="98" t="s">
        <v>112</v>
      </c>
      <c r="B67" s="44" t="s">
        <v>142</v>
      </c>
      <c r="C67" s="63">
        <v>5884.33</v>
      </c>
      <c r="D67" s="63"/>
      <c r="E67" s="64"/>
      <c r="F67" s="64"/>
      <c r="G67" s="65"/>
      <c r="H67" s="65"/>
      <c r="I67" s="119"/>
    </row>
    <row r="68" spans="1:10" ht="32.25" thickBot="1" x14ac:dyDescent="0.3">
      <c r="A68" s="480" t="s">
        <v>113</v>
      </c>
      <c r="B68" s="470" t="s">
        <v>143</v>
      </c>
      <c r="C68" s="111">
        <v>1294.55</v>
      </c>
      <c r="D68" s="111"/>
      <c r="E68" s="112"/>
      <c r="F68" s="112"/>
      <c r="G68" s="481"/>
      <c r="H68" s="481"/>
      <c r="I68" s="482"/>
    </row>
    <row r="69" spans="1:10" ht="31.5" x14ac:dyDescent="0.25">
      <c r="A69" s="483" t="s">
        <v>114</v>
      </c>
      <c r="B69" s="39" t="s">
        <v>144</v>
      </c>
      <c r="C69" s="484">
        <v>331.1</v>
      </c>
      <c r="D69" s="484"/>
      <c r="E69" s="485"/>
      <c r="F69" s="485"/>
      <c r="G69" s="41"/>
      <c r="H69" s="486"/>
      <c r="I69" s="487"/>
    </row>
    <row r="70" spans="1:10" ht="47.25" x14ac:dyDescent="0.25">
      <c r="A70" s="98" t="s">
        <v>136</v>
      </c>
      <c r="B70" s="44" t="s">
        <v>145</v>
      </c>
      <c r="C70" s="63"/>
      <c r="D70" s="63"/>
      <c r="E70" s="64"/>
      <c r="F70" s="64"/>
      <c r="G70" s="65"/>
      <c r="H70" s="64"/>
      <c r="I70" s="109"/>
    </row>
    <row r="71" spans="1:10" ht="31.5" x14ac:dyDescent="0.25">
      <c r="A71" s="98" t="s">
        <v>137</v>
      </c>
      <c r="B71" s="44" t="s">
        <v>146</v>
      </c>
      <c r="C71" s="63"/>
      <c r="D71" s="63"/>
      <c r="E71" s="64"/>
      <c r="F71" s="64"/>
      <c r="G71" s="64"/>
      <c r="H71" s="64"/>
      <c r="I71" s="109"/>
    </row>
    <row r="72" spans="1:10" ht="15.75" x14ac:dyDescent="0.25">
      <c r="A72" s="98" t="s">
        <v>93</v>
      </c>
      <c r="B72" s="44" t="s">
        <v>147</v>
      </c>
      <c r="C72" s="63"/>
      <c r="D72" s="63"/>
      <c r="E72" s="64"/>
      <c r="F72" s="64"/>
      <c r="G72" s="64"/>
      <c r="H72" s="64"/>
      <c r="I72" s="109"/>
    </row>
    <row r="73" spans="1:10" ht="15.75" x14ac:dyDescent="0.25">
      <c r="A73" s="99" t="s">
        <v>115</v>
      </c>
      <c r="B73" s="44" t="s">
        <v>148</v>
      </c>
      <c r="C73" s="31"/>
      <c r="D73" s="31"/>
      <c r="E73" s="50"/>
      <c r="F73" s="50"/>
      <c r="G73" s="50"/>
      <c r="H73" s="50"/>
      <c r="I73" s="56"/>
    </row>
    <row r="74" spans="1:10" ht="16.5" thickBot="1" x14ac:dyDescent="0.3">
      <c r="A74" s="110" t="s">
        <v>138</v>
      </c>
      <c r="B74" s="470" t="s">
        <v>6</v>
      </c>
      <c r="C74" s="111"/>
      <c r="D74" s="111"/>
      <c r="E74" s="112"/>
      <c r="F74" s="112"/>
      <c r="G74" s="112"/>
      <c r="H74" s="112"/>
      <c r="I74" s="113"/>
    </row>
    <row r="75" spans="1:10" ht="21" customHeight="1" thickBot="1" x14ac:dyDescent="0.3">
      <c r="A75" s="95" t="s">
        <v>20</v>
      </c>
      <c r="B75" s="52" t="s">
        <v>7</v>
      </c>
      <c r="C75" s="53">
        <f>C57+C58+C59+C60+C61+C62+C63+C45+C46+C49+C50+0.1</f>
        <v>5099.32</v>
      </c>
      <c r="D75" s="54">
        <f>D57+D58+D59+D60+D61+D62+D63+D45+D46+D49+D50+D67+D68+D69+D70</f>
        <v>17847.21</v>
      </c>
      <c r="E75" s="54">
        <f>E57+E58+E59+E60+E61+E62+E63+E45+E46+E49+E50+E67+E68+E69+E70</f>
        <v>21501.29</v>
      </c>
      <c r="F75" s="54">
        <f>F57+F58+F59+F60+F61+F62+F63+F45+F46+F49+F50+F67+F68+F69+F70</f>
        <v>4769.2999999999993</v>
      </c>
      <c r="G75" s="54">
        <f>+G57+G58+G59+G60+G61+G62+G63+G67+G68+G69+G70+G50</f>
        <v>4313.8900000000003</v>
      </c>
      <c r="H75" s="54">
        <f>H57+H58+H59+H60+H61+H62+H63+H45+H46+H49+H50+H67+H68+H69+H70</f>
        <v>7009.76</v>
      </c>
      <c r="I75" s="55">
        <f>I57+I58+I59+I60+I61+I62+I63+I45+I46+I49+I50+I67+I68</f>
        <v>5408.34</v>
      </c>
      <c r="J75" s="447"/>
    </row>
    <row r="76" spans="1:10" ht="31.5" x14ac:dyDescent="0.25">
      <c r="A76" s="488" t="s">
        <v>56</v>
      </c>
      <c r="B76" s="489" t="s">
        <v>8</v>
      </c>
      <c r="C76" s="490"/>
      <c r="D76" s="490"/>
      <c r="E76" s="491"/>
      <c r="F76" s="491"/>
      <c r="G76" s="491"/>
      <c r="H76" s="491"/>
      <c r="I76" s="492"/>
    </row>
    <row r="77" spans="1:10" ht="25.9" customHeight="1" x14ac:dyDescent="0.2">
      <c r="A77" s="524" t="s">
        <v>57</v>
      </c>
      <c r="B77" s="471" t="s">
        <v>9</v>
      </c>
      <c r="C77" s="67">
        <f t="shared" ref="C77:D77" si="12">C41-C43</f>
        <v>0</v>
      </c>
      <c r="D77" s="67">
        <f t="shared" si="12"/>
        <v>0</v>
      </c>
      <c r="E77" s="68">
        <v>0</v>
      </c>
      <c r="F77" s="69">
        <v>0</v>
      </c>
      <c r="G77" s="69">
        <v>0</v>
      </c>
      <c r="H77" s="69">
        <v>0</v>
      </c>
      <c r="I77" s="70">
        <v>0</v>
      </c>
    </row>
    <row r="78" spans="1:10" ht="49.9" customHeight="1" x14ac:dyDescent="0.25">
      <c r="A78" s="116" t="s">
        <v>116</v>
      </c>
      <c r="B78" s="471" t="s">
        <v>10</v>
      </c>
      <c r="C78" s="67"/>
      <c r="D78" s="67"/>
      <c r="E78" s="68"/>
      <c r="F78" s="69"/>
      <c r="G78" s="69"/>
      <c r="H78" s="69"/>
      <c r="I78" s="70"/>
    </row>
    <row r="79" spans="1:10" ht="25.9" customHeight="1" x14ac:dyDescent="0.2">
      <c r="A79" s="524" t="s">
        <v>117</v>
      </c>
      <c r="B79" s="471" t="s">
        <v>11</v>
      </c>
      <c r="C79" s="67"/>
      <c r="D79" s="67"/>
      <c r="E79" s="68"/>
      <c r="F79" s="69"/>
      <c r="G79" s="69"/>
      <c r="H79" s="69"/>
      <c r="I79" s="70"/>
    </row>
    <row r="80" spans="1:10" ht="52.9" customHeight="1" x14ac:dyDescent="0.25">
      <c r="A80" s="116" t="s">
        <v>118</v>
      </c>
      <c r="B80" s="471" t="s">
        <v>12</v>
      </c>
      <c r="C80" s="67">
        <v>0</v>
      </c>
      <c r="D80" s="67">
        <v>0</v>
      </c>
      <c r="E80" s="68">
        <v>0</v>
      </c>
      <c r="F80" s="69">
        <v>0</v>
      </c>
      <c r="G80" s="69">
        <v>0</v>
      </c>
      <c r="H80" s="69">
        <v>0</v>
      </c>
      <c r="I80" s="70">
        <v>0</v>
      </c>
    </row>
    <row r="81" spans="1:9" ht="15.75" x14ac:dyDescent="0.25">
      <c r="A81" s="116" t="s">
        <v>117</v>
      </c>
      <c r="B81" s="471" t="s">
        <v>13</v>
      </c>
      <c r="C81" s="74"/>
      <c r="D81" s="74"/>
      <c r="E81" s="68"/>
      <c r="F81" s="69"/>
      <c r="G81" s="69"/>
      <c r="H81" s="69"/>
      <c r="I81" s="70"/>
    </row>
    <row r="82" spans="1:9" ht="35.450000000000003" customHeight="1" x14ac:dyDescent="0.25">
      <c r="A82" s="116" t="s">
        <v>119</v>
      </c>
      <c r="B82" s="472" t="s">
        <v>14</v>
      </c>
      <c r="C82" s="31">
        <v>0</v>
      </c>
      <c r="D82" s="31">
        <v>0</v>
      </c>
      <c r="E82" s="50">
        <v>0</v>
      </c>
      <c r="F82" s="46">
        <v>0</v>
      </c>
      <c r="G82" s="46">
        <v>0</v>
      </c>
      <c r="H82" s="46">
        <v>0</v>
      </c>
      <c r="I82" s="47">
        <v>0</v>
      </c>
    </row>
    <row r="83" spans="1:9" ht="31.5" x14ac:dyDescent="0.25">
      <c r="A83" s="117" t="s">
        <v>58</v>
      </c>
      <c r="B83" s="472" t="s">
        <v>2</v>
      </c>
      <c r="C83" s="67">
        <v>0</v>
      </c>
      <c r="D83" s="31">
        <v>0</v>
      </c>
      <c r="E83" s="50">
        <v>0</v>
      </c>
      <c r="F83" s="46">
        <v>0</v>
      </c>
      <c r="G83" s="46">
        <v>0</v>
      </c>
      <c r="H83" s="46">
        <v>0</v>
      </c>
      <c r="I83" s="47">
        <v>0</v>
      </c>
    </row>
    <row r="84" spans="1:9" ht="15.75" x14ac:dyDescent="0.25">
      <c r="A84" s="116" t="s">
        <v>59</v>
      </c>
      <c r="B84" s="472" t="s">
        <v>149</v>
      </c>
      <c r="C84" s="67">
        <v>0</v>
      </c>
      <c r="D84" s="31">
        <v>0</v>
      </c>
      <c r="E84" s="50">
        <v>0</v>
      </c>
      <c r="F84" s="46">
        <v>0</v>
      </c>
      <c r="G84" s="46">
        <v>0</v>
      </c>
      <c r="H84" s="46">
        <v>0</v>
      </c>
      <c r="I84" s="47">
        <v>0</v>
      </c>
    </row>
    <row r="85" spans="1:9" ht="16.5" thickBot="1" x14ac:dyDescent="0.3">
      <c r="A85" s="493" t="s">
        <v>60</v>
      </c>
      <c r="B85" s="494" t="s">
        <v>150</v>
      </c>
      <c r="C85" s="80"/>
      <c r="D85" s="80"/>
      <c r="E85" s="495"/>
      <c r="F85" s="495"/>
      <c r="G85" s="495"/>
      <c r="H85" s="495"/>
      <c r="I85" s="496"/>
    </row>
    <row r="86" spans="1:9" ht="16.5" thickBot="1" x14ac:dyDescent="0.25">
      <c r="A86" s="567" t="s">
        <v>61</v>
      </c>
      <c r="B86" s="568"/>
      <c r="C86" s="568"/>
      <c r="D86" s="568"/>
      <c r="E86" s="568"/>
      <c r="F86" s="568"/>
      <c r="G86" s="568"/>
      <c r="H86" s="568"/>
      <c r="I86" s="569"/>
    </row>
    <row r="87" spans="1:9" ht="31.5" x14ac:dyDescent="0.25">
      <c r="A87" s="497" t="s">
        <v>62</v>
      </c>
      <c r="B87" s="498"/>
      <c r="C87" s="499"/>
      <c r="D87" s="499"/>
      <c r="E87" s="500"/>
      <c r="F87" s="500"/>
      <c r="G87" s="500"/>
      <c r="H87" s="501"/>
      <c r="I87" s="502"/>
    </row>
    <row r="88" spans="1:9" ht="15.75" x14ac:dyDescent="0.25">
      <c r="A88" s="48" t="s">
        <v>80</v>
      </c>
      <c r="B88" s="51" t="s">
        <v>64</v>
      </c>
      <c r="C88" s="71"/>
      <c r="D88" s="71"/>
      <c r="E88" s="69"/>
      <c r="F88" s="69"/>
      <c r="G88" s="69"/>
      <c r="H88" s="78"/>
      <c r="I88" s="70"/>
    </row>
    <row r="89" spans="1:9" ht="31.5" x14ac:dyDescent="0.25">
      <c r="A89" s="48" t="s">
        <v>120</v>
      </c>
      <c r="B89" s="51" t="s">
        <v>65</v>
      </c>
      <c r="C89" s="71"/>
      <c r="D89" s="71"/>
      <c r="E89" s="69"/>
      <c r="F89" s="69"/>
      <c r="G89" s="69"/>
      <c r="H89" s="78"/>
      <c r="I89" s="70"/>
    </row>
    <row r="90" spans="1:9" s="9" customFormat="1" ht="15.75" x14ac:dyDescent="0.25">
      <c r="A90" s="48" t="s">
        <v>416</v>
      </c>
      <c r="B90" s="51" t="s">
        <v>67</v>
      </c>
      <c r="C90" s="74">
        <v>0</v>
      </c>
      <c r="D90" s="74">
        <f>D84</f>
        <v>0</v>
      </c>
      <c r="E90" s="74">
        <f t="shared" ref="E90:I90" si="13">E84</f>
        <v>0</v>
      </c>
      <c r="F90" s="72">
        <f t="shared" si="13"/>
        <v>0</v>
      </c>
      <c r="G90" s="72">
        <f t="shared" si="13"/>
        <v>0</v>
      </c>
      <c r="H90" s="72">
        <f t="shared" si="13"/>
        <v>0</v>
      </c>
      <c r="I90" s="108">
        <f t="shared" si="13"/>
        <v>0</v>
      </c>
    </row>
    <row r="91" spans="1:9" s="9" customFormat="1" ht="49.15" customHeight="1" thickBot="1" x14ac:dyDescent="0.3">
      <c r="A91" s="118" t="s">
        <v>75</v>
      </c>
      <c r="B91" s="75" t="s">
        <v>68</v>
      </c>
      <c r="C91" s="83"/>
      <c r="D91" s="83"/>
      <c r="E91" s="76"/>
      <c r="F91" s="76"/>
      <c r="G91" s="76"/>
      <c r="H91" s="84"/>
      <c r="I91" s="77"/>
    </row>
    <row r="92" spans="1:9" ht="16.5" thickBot="1" x14ac:dyDescent="0.25">
      <c r="A92" s="567" t="s">
        <v>66</v>
      </c>
      <c r="B92" s="568"/>
      <c r="C92" s="568"/>
      <c r="D92" s="568"/>
      <c r="E92" s="568"/>
      <c r="F92" s="568"/>
      <c r="G92" s="568"/>
      <c r="H92" s="568"/>
      <c r="I92" s="569"/>
    </row>
    <row r="93" spans="1:9" ht="15.75" x14ac:dyDescent="0.25">
      <c r="A93" s="497" t="s">
        <v>63</v>
      </c>
      <c r="B93" s="503" t="s">
        <v>69</v>
      </c>
      <c r="C93" s="504"/>
      <c r="D93" s="504"/>
      <c r="E93" s="505"/>
      <c r="F93" s="506" t="s">
        <v>0</v>
      </c>
      <c r="G93" s="506" t="s">
        <v>0</v>
      </c>
      <c r="H93" s="506" t="s">
        <v>0</v>
      </c>
      <c r="I93" s="507" t="s">
        <v>0</v>
      </c>
    </row>
    <row r="94" spans="1:9" ht="15.75" x14ac:dyDescent="0.25">
      <c r="A94" s="49" t="s">
        <v>139</v>
      </c>
      <c r="B94" s="51" t="s">
        <v>151</v>
      </c>
      <c r="C94" s="71"/>
      <c r="D94" s="71"/>
      <c r="E94" s="69"/>
      <c r="F94" s="69"/>
      <c r="G94" s="69"/>
      <c r="H94" s="78"/>
      <c r="I94" s="70"/>
    </row>
    <row r="95" spans="1:9" ht="31.5" x14ac:dyDescent="0.25">
      <c r="A95" s="49" t="s">
        <v>81</v>
      </c>
      <c r="B95" s="51" t="s">
        <v>152</v>
      </c>
      <c r="C95" s="80"/>
      <c r="D95" s="80"/>
      <c r="E95" s="81"/>
      <c r="F95" s="82" t="s">
        <v>0</v>
      </c>
      <c r="G95" s="82" t="s">
        <v>0</v>
      </c>
      <c r="H95" s="82" t="s">
        <v>0</v>
      </c>
      <c r="I95" s="79" t="s">
        <v>0</v>
      </c>
    </row>
    <row r="96" spans="1:9" ht="15.75" x14ac:dyDescent="0.25">
      <c r="A96" s="48" t="s">
        <v>70</v>
      </c>
      <c r="B96" s="51" t="s">
        <v>153</v>
      </c>
      <c r="C96" s="71"/>
      <c r="D96" s="71"/>
      <c r="E96" s="69"/>
      <c r="F96" s="69"/>
      <c r="G96" s="69"/>
      <c r="H96" s="78"/>
      <c r="I96" s="70"/>
    </row>
    <row r="97" spans="1:9" ht="16.5" thickBot="1" x14ac:dyDescent="0.3">
      <c r="A97" s="110" t="s">
        <v>82</v>
      </c>
      <c r="B97" s="75" t="s">
        <v>154</v>
      </c>
      <c r="C97" s="83"/>
      <c r="D97" s="83"/>
      <c r="E97" s="76"/>
      <c r="F97" s="76"/>
      <c r="G97" s="76"/>
      <c r="H97" s="84"/>
      <c r="I97" s="77"/>
    </row>
    <row r="98" spans="1:9" x14ac:dyDescent="0.2">
      <c r="A98" s="17"/>
      <c r="B98" s="18"/>
      <c r="C98" s="19"/>
      <c r="D98" s="19"/>
      <c r="E98" s="20"/>
      <c r="F98" s="21"/>
      <c r="G98" s="21"/>
      <c r="H98" s="21"/>
      <c r="I98" s="21"/>
    </row>
    <row r="99" spans="1:9" ht="15.75" x14ac:dyDescent="0.25">
      <c r="A99" s="100"/>
      <c r="B99" s="22"/>
      <c r="C99" s="22"/>
      <c r="D99" s="22"/>
      <c r="E99" s="23"/>
      <c r="F99" s="9"/>
      <c r="G99" s="570"/>
      <c r="H99" s="570"/>
      <c r="I99" s="570"/>
    </row>
    <row r="100" spans="1:9" ht="5.25" customHeight="1" x14ac:dyDescent="0.25">
      <c r="A100" s="101"/>
      <c r="B100" s="24"/>
      <c r="C100" s="24"/>
      <c r="D100" s="24"/>
      <c r="E100" s="25"/>
      <c r="F100" s="29"/>
      <c r="G100" s="9"/>
      <c r="H100" s="9"/>
      <c r="I100" s="9"/>
    </row>
    <row r="101" spans="1:9" ht="18" customHeight="1" x14ac:dyDescent="0.2">
      <c r="A101" s="26"/>
      <c r="B101" s="27"/>
      <c r="C101" s="28"/>
      <c r="D101" s="571"/>
      <c r="E101" s="571"/>
      <c r="G101" s="572"/>
      <c r="H101" s="572"/>
      <c r="I101" s="572"/>
    </row>
    <row r="102" spans="1:9" ht="16.5" x14ac:dyDescent="0.25">
      <c r="A102" s="508" t="s">
        <v>424</v>
      </c>
      <c r="B102" s="508"/>
      <c r="C102" s="508"/>
      <c r="D102" s="508"/>
      <c r="E102" s="508"/>
      <c r="F102" s="508"/>
      <c r="G102" s="528" t="s">
        <v>425</v>
      </c>
      <c r="H102" s="528"/>
      <c r="I102" s="528"/>
    </row>
    <row r="103" spans="1:9" ht="16.5" x14ac:dyDescent="0.25">
      <c r="A103" s="88"/>
    </row>
    <row r="104" spans="1:9" ht="16.5" x14ac:dyDescent="0.25">
      <c r="A104" s="88" t="s">
        <v>121</v>
      </c>
    </row>
    <row r="105" spans="1:9" ht="16.5" x14ac:dyDescent="0.25">
      <c r="A105" s="508"/>
      <c r="B105" s="508"/>
      <c r="C105" s="508"/>
      <c r="D105" s="508"/>
      <c r="E105" s="508"/>
      <c r="F105" s="508"/>
      <c r="G105" s="528"/>
      <c r="H105" s="528"/>
      <c r="I105" s="528"/>
    </row>
    <row r="106" spans="1:9" x14ac:dyDescent="0.2">
      <c r="A106" s="17"/>
    </row>
    <row r="107" spans="1:9" x14ac:dyDescent="0.2">
      <c r="A107" s="17"/>
    </row>
    <row r="108" spans="1:9" x14ac:dyDescent="0.2">
      <c r="A108" s="17"/>
    </row>
    <row r="109" spans="1:9" x14ac:dyDescent="0.2">
      <c r="A109" s="17"/>
    </row>
  </sheetData>
  <mergeCells count="43">
    <mergeCell ref="B47:B48"/>
    <mergeCell ref="A86:I86"/>
    <mergeCell ref="A92:I92"/>
    <mergeCell ref="G99:I99"/>
    <mergeCell ref="D101:E101"/>
    <mergeCell ref="G101:I101"/>
    <mergeCell ref="B21:H21"/>
    <mergeCell ref="B20:H20"/>
    <mergeCell ref="A26:I26"/>
    <mergeCell ref="F27:I27"/>
    <mergeCell ref="B29:I29"/>
    <mergeCell ref="A27:A28"/>
    <mergeCell ref="B27:B28"/>
    <mergeCell ref="C27:C28"/>
    <mergeCell ref="D27:D28"/>
    <mergeCell ref="E27:E28"/>
    <mergeCell ref="F2:I2"/>
    <mergeCell ref="F3:I3"/>
    <mergeCell ref="F4:I4"/>
    <mergeCell ref="F8:H8"/>
    <mergeCell ref="F6:I6"/>
    <mergeCell ref="A10:F10"/>
    <mergeCell ref="G10:H10"/>
    <mergeCell ref="B11:F11"/>
    <mergeCell ref="G11:H11"/>
    <mergeCell ref="B12:F12"/>
    <mergeCell ref="G12:H12"/>
    <mergeCell ref="G102:I102"/>
    <mergeCell ref="G105:I105"/>
    <mergeCell ref="B13:F13"/>
    <mergeCell ref="G13:H13"/>
    <mergeCell ref="B14:F14"/>
    <mergeCell ref="G14:H14"/>
    <mergeCell ref="B15:F15"/>
    <mergeCell ref="G15:H15"/>
    <mergeCell ref="B16:F16"/>
    <mergeCell ref="G16:H16"/>
    <mergeCell ref="B17:F17"/>
    <mergeCell ref="G17:H17"/>
    <mergeCell ref="B19:F19"/>
    <mergeCell ref="A23:I23"/>
    <mergeCell ref="A24:I24"/>
    <mergeCell ref="A25:I25"/>
  </mergeCells>
  <pageMargins left="1.1811023622047245" right="0.39370078740157483" top="0.78740157480314965" bottom="0.78740157480314965" header="0.31496062992125984" footer="0.31496062992125984"/>
  <pageSetup paperSize="9" scale="70" orientation="portrait" verticalDpi="4294967295" r:id="rId1"/>
  <colBreaks count="1" manualBreakCount="1">
    <brk id="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106"/>
  <sheetViews>
    <sheetView view="pageBreakPreview" topLeftCell="J58" zoomScaleSheetLayoutView="100" workbookViewId="0">
      <selection activeCell="G59" sqref="G59:R59"/>
    </sheetView>
  </sheetViews>
  <sheetFormatPr defaultRowHeight="15.75" x14ac:dyDescent="0.25"/>
  <cols>
    <col min="1" max="1" width="4.7109375" style="126" customWidth="1"/>
    <col min="2" max="2" width="35.28515625" style="126" customWidth="1"/>
    <col min="3" max="3" width="9.140625" style="126"/>
    <col min="4" max="4" width="11.28515625" style="126" customWidth="1"/>
    <col min="5" max="5" width="16.140625" style="220" customWidth="1"/>
    <col min="6" max="6" width="18.28515625" style="220" customWidth="1"/>
    <col min="7" max="7" width="16.5703125" style="220" customWidth="1"/>
    <col min="8" max="8" width="16.85546875" style="221" customWidth="1"/>
    <col min="9" max="9" width="17" style="221" customWidth="1"/>
    <col min="10" max="10" width="17.28515625" style="221" customWidth="1"/>
    <col min="11" max="12" width="16.140625" style="221" customWidth="1"/>
    <col min="13" max="13" width="16.7109375" style="221" customWidth="1"/>
    <col min="14" max="15" width="16.5703125" style="221" customWidth="1"/>
    <col min="16" max="16" width="16.28515625" style="221" customWidth="1"/>
    <col min="17" max="18" width="16.42578125" style="221" customWidth="1"/>
    <col min="19" max="19" width="20.7109375" style="221" customWidth="1"/>
    <col min="20" max="16384" width="9.140625" style="126"/>
  </cols>
  <sheetData>
    <row r="1" spans="1:19" ht="20.25" hidden="1" customHeight="1" x14ac:dyDescent="0.25">
      <c r="A1" s="121"/>
      <c r="B1" s="121"/>
      <c r="C1" s="121"/>
      <c r="D1" s="121"/>
      <c r="E1" s="122"/>
      <c r="F1" s="122"/>
      <c r="G1" s="122"/>
      <c r="H1" s="123"/>
      <c r="I1" s="123"/>
      <c r="J1" s="123"/>
      <c r="K1" s="123"/>
      <c r="L1" s="123"/>
      <c r="M1" s="123"/>
      <c r="N1" s="124"/>
      <c r="O1" s="573" t="s">
        <v>234</v>
      </c>
      <c r="P1" s="573"/>
      <c r="Q1" s="573"/>
      <c r="R1" s="573"/>
      <c r="S1" s="125" t="s">
        <v>235</v>
      </c>
    </row>
    <row r="2" spans="1:19" hidden="1" x14ac:dyDescent="0.25">
      <c r="A2" s="121"/>
      <c r="B2" s="121"/>
      <c r="C2" s="121"/>
      <c r="D2" s="121"/>
      <c r="E2" s="122"/>
      <c r="F2" s="122"/>
      <c r="G2" s="122"/>
      <c r="H2" s="123"/>
      <c r="I2" s="123"/>
      <c r="J2" s="123"/>
      <c r="K2" s="123"/>
      <c r="L2" s="123"/>
      <c r="M2" s="123"/>
      <c r="N2" s="123"/>
      <c r="O2" s="123" t="s">
        <v>236</v>
      </c>
      <c r="P2" s="123"/>
      <c r="Q2" s="123"/>
      <c r="R2" s="123"/>
      <c r="S2" s="123" t="s">
        <v>237</v>
      </c>
    </row>
    <row r="3" spans="1:19" hidden="1" x14ac:dyDescent="0.25">
      <c r="A3" s="121"/>
      <c r="B3" s="121"/>
      <c r="C3" s="121"/>
      <c r="D3" s="121"/>
      <c r="E3" s="122"/>
      <c r="F3" s="122"/>
      <c r="G3" s="122"/>
      <c r="H3" s="123"/>
      <c r="I3" s="123"/>
      <c r="J3" s="123"/>
      <c r="K3" s="123"/>
      <c r="L3" s="123"/>
      <c r="M3" s="123"/>
      <c r="N3" s="123"/>
      <c r="O3" s="127"/>
      <c r="P3" s="574"/>
      <c r="Q3" s="574"/>
      <c r="R3" s="574"/>
      <c r="S3" s="128"/>
    </row>
    <row r="4" spans="1:19" hidden="1" x14ac:dyDescent="0.25">
      <c r="A4" s="121"/>
      <c r="B4" s="121"/>
      <c r="C4" s="121"/>
      <c r="D4" s="121"/>
      <c r="E4" s="122"/>
      <c r="F4" s="122"/>
      <c r="G4" s="122"/>
      <c r="H4" s="123"/>
      <c r="I4" s="123"/>
      <c r="J4" s="123"/>
      <c r="K4" s="123"/>
      <c r="L4" s="123"/>
      <c r="M4" s="123"/>
      <c r="N4" s="123"/>
      <c r="O4" s="128" t="s">
        <v>238</v>
      </c>
      <c r="P4" s="128"/>
      <c r="Q4" s="128"/>
      <c r="R4" s="128"/>
      <c r="S4" s="123"/>
    </row>
    <row r="5" spans="1:19" hidden="1" x14ac:dyDescent="0.25">
      <c r="A5" s="121"/>
      <c r="B5" s="121"/>
      <c r="C5" s="121"/>
      <c r="D5" s="121"/>
      <c r="E5" s="122"/>
      <c r="F5" s="122"/>
      <c r="G5" s="122"/>
      <c r="H5" s="123"/>
      <c r="I5" s="123"/>
      <c r="J5" s="123"/>
      <c r="K5" s="123"/>
      <c r="L5" s="123"/>
      <c r="M5" s="123"/>
      <c r="N5" s="123"/>
      <c r="O5" s="123" t="s">
        <v>239</v>
      </c>
      <c r="P5" s="123"/>
      <c r="Q5" s="123"/>
      <c r="R5" s="123"/>
      <c r="S5" s="128" t="s">
        <v>240</v>
      </c>
    </row>
    <row r="6" spans="1:19" hidden="1" x14ac:dyDescent="0.25">
      <c r="A6" s="121"/>
      <c r="B6" s="121"/>
      <c r="C6" s="121"/>
      <c r="D6" s="121"/>
      <c r="E6" s="122"/>
      <c r="F6" s="122"/>
      <c r="G6" s="122"/>
      <c r="H6" s="123"/>
      <c r="I6" s="123"/>
      <c r="J6" s="123"/>
      <c r="K6" s="123"/>
      <c r="L6" s="123"/>
      <c r="M6" s="123"/>
      <c r="N6" s="123"/>
      <c r="O6" s="128" t="s">
        <v>241</v>
      </c>
      <c r="P6" s="128"/>
      <c r="Q6" s="128"/>
      <c r="R6" s="128"/>
      <c r="S6" s="123" t="s">
        <v>242</v>
      </c>
    </row>
    <row r="7" spans="1:19" hidden="1" x14ac:dyDescent="0.25">
      <c r="A7" s="121"/>
      <c r="B7" s="121"/>
      <c r="C7" s="121"/>
      <c r="D7" s="121"/>
      <c r="E7" s="122"/>
      <c r="F7" s="122"/>
      <c r="G7" s="122"/>
      <c r="H7" s="123"/>
      <c r="I7" s="123"/>
      <c r="J7" s="123"/>
      <c r="K7" s="123"/>
      <c r="L7" s="123"/>
      <c r="M7" s="123"/>
      <c r="N7" s="123"/>
      <c r="O7" s="129" t="s">
        <v>243</v>
      </c>
      <c r="P7" s="129"/>
      <c r="Q7" s="129"/>
      <c r="R7" s="129"/>
      <c r="S7" s="123"/>
    </row>
    <row r="8" spans="1:19" hidden="1" x14ac:dyDescent="0.25">
      <c r="A8" s="121"/>
      <c r="B8" s="121"/>
      <c r="C8" s="121"/>
      <c r="D8" s="121"/>
      <c r="E8" s="122"/>
      <c r="F8" s="122"/>
      <c r="G8" s="130"/>
      <c r="H8" s="123"/>
      <c r="I8" s="123"/>
      <c r="J8" s="123"/>
      <c r="K8" s="123"/>
      <c r="L8" s="123"/>
      <c r="M8" s="123"/>
      <c r="N8" s="123"/>
      <c r="O8" s="575" t="s">
        <v>244</v>
      </c>
      <c r="P8" s="575"/>
      <c r="Q8" s="128"/>
      <c r="R8" s="128"/>
      <c r="S8" s="123"/>
    </row>
    <row r="9" spans="1:19" hidden="1" x14ac:dyDescent="0.25">
      <c r="A9" s="121"/>
      <c r="B9" s="121"/>
      <c r="C9" s="121"/>
      <c r="D9" s="121"/>
      <c r="E9" s="122"/>
      <c r="F9" s="122"/>
      <c r="G9" s="130"/>
      <c r="H9" s="123"/>
      <c r="I9" s="123"/>
      <c r="J9" s="123"/>
      <c r="K9" s="123"/>
      <c r="L9" s="123"/>
      <c r="M9" s="123"/>
      <c r="N9" s="123"/>
      <c r="O9" s="576" t="s">
        <v>245</v>
      </c>
      <c r="P9" s="576"/>
      <c r="Q9" s="123"/>
      <c r="R9" s="123"/>
      <c r="S9" s="123"/>
    </row>
    <row r="10" spans="1:19" hidden="1" x14ac:dyDescent="0.25">
      <c r="A10" s="121"/>
      <c r="B10" s="121"/>
      <c r="C10" s="121"/>
      <c r="D10" s="121"/>
      <c r="E10" s="122"/>
      <c r="F10" s="122"/>
      <c r="G10" s="122"/>
      <c r="H10" s="123"/>
      <c r="I10" s="123"/>
      <c r="J10" s="123"/>
      <c r="K10" s="123"/>
      <c r="L10" s="123"/>
      <c r="M10" s="123"/>
      <c r="N10" s="123"/>
      <c r="O10" s="123"/>
      <c r="P10" s="123"/>
      <c r="Q10" s="123"/>
      <c r="R10" s="123"/>
      <c r="S10" s="123"/>
    </row>
    <row r="11" spans="1:19" hidden="1" x14ac:dyDescent="0.25">
      <c r="A11" s="121"/>
      <c r="B11" s="121"/>
      <c r="C11" s="121"/>
      <c r="D11" s="121"/>
      <c r="E11" s="122"/>
      <c r="F11" s="122"/>
      <c r="G11" s="122"/>
      <c r="H11" s="123"/>
      <c r="I11" s="123"/>
      <c r="J11" s="123"/>
      <c r="K11" s="123"/>
      <c r="L11" s="123"/>
      <c r="M11" s="123"/>
      <c r="N11" s="123"/>
      <c r="O11" s="123"/>
      <c r="P11" s="123"/>
      <c r="Q11" s="123"/>
      <c r="R11" s="123"/>
      <c r="S11" s="123"/>
    </row>
    <row r="12" spans="1:19" hidden="1" x14ac:dyDescent="0.25">
      <c r="A12" s="121"/>
      <c r="B12" s="121"/>
      <c r="C12" s="121"/>
      <c r="D12" s="121"/>
      <c r="E12" s="122"/>
      <c r="F12" s="122"/>
      <c r="G12" s="122"/>
      <c r="H12" s="123"/>
      <c r="I12" s="123"/>
      <c r="J12" s="123"/>
      <c r="K12" s="123"/>
      <c r="L12" s="123"/>
      <c r="M12" s="123"/>
      <c r="N12" s="123"/>
      <c r="O12" s="123"/>
      <c r="P12" s="123"/>
      <c r="Q12" s="123"/>
      <c r="R12" s="123"/>
      <c r="S12" s="123"/>
    </row>
    <row r="13" spans="1:19" hidden="1" x14ac:dyDescent="0.25">
      <c r="A13" s="121"/>
      <c r="B13" s="121"/>
      <c r="C13" s="121"/>
      <c r="D13" s="121"/>
      <c r="E13" s="122"/>
      <c r="F13" s="122"/>
      <c r="G13" s="122"/>
      <c r="H13" s="123"/>
      <c r="I13" s="123"/>
      <c r="J13" s="123"/>
      <c r="K13" s="123"/>
      <c r="L13" s="123"/>
      <c r="M13" s="123"/>
      <c r="N13" s="123"/>
      <c r="O13" s="123"/>
      <c r="P13" s="123"/>
      <c r="Q13" s="123"/>
      <c r="R13" s="123"/>
      <c r="S13" s="123"/>
    </row>
    <row r="14" spans="1:19" hidden="1" x14ac:dyDescent="0.25">
      <c r="A14" s="121"/>
      <c r="B14" s="121"/>
      <c r="C14" s="121"/>
      <c r="D14" s="121"/>
      <c r="E14" s="122"/>
      <c r="F14" s="122"/>
      <c r="G14" s="122"/>
      <c r="H14" s="123"/>
      <c r="I14" s="123"/>
      <c r="J14" s="123"/>
      <c r="K14" s="123"/>
      <c r="L14" s="123"/>
      <c r="M14" s="123"/>
      <c r="N14" s="123"/>
      <c r="O14" s="123"/>
      <c r="P14" s="123"/>
      <c r="Q14" s="123"/>
      <c r="R14" s="123"/>
      <c r="S14" s="123"/>
    </row>
    <row r="15" spans="1:19" hidden="1" x14ac:dyDescent="0.25">
      <c r="A15" s="121"/>
      <c r="B15" s="121"/>
      <c r="C15" s="121"/>
      <c r="D15" s="121"/>
      <c r="E15" s="122"/>
      <c r="F15" s="122"/>
      <c r="G15" s="122"/>
      <c r="H15" s="123"/>
      <c r="I15" s="123"/>
      <c r="J15" s="123"/>
      <c r="K15" s="123"/>
      <c r="L15" s="123"/>
      <c r="M15" s="123"/>
      <c r="N15" s="123"/>
      <c r="O15" s="123"/>
      <c r="P15" s="123"/>
      <c r="Q15" s="123"/>
      <c r="R15" s="123"/>
      <c r="S15" s="123"/>
    </row>
    <row r="16" spans="1:19" ht="22.5" customHeight="1" x14ac:dyDescent="0.25">
      <c r="A16" s="578" t="s">
        <v>381</v>
      </c>
      <c r="B16" s="578"/>
      <c r="C16" s="578"/>
      <c r="D16" s="578"/>
      <c r="E16" s="578"/>
      <c r="F16" s="578"/>
      <c r="G16" s="578"/>
      <c r="H16" s="578"/>
      <c r="I16" s="578"/>
      <c r="J16" s="578"/>
      <c r="K16" s="578"/>
      <c r="L16" s="578"/>
      <c r="M16" s="578"/>
      <c r="N16" s="578"/>
      <c r="O16" s="578"/>
      <c r="P16" s="578"/>
      <c r="Q16" s="578"/>
      <c r="R16" s="578"/>
      <c r="S16" s="123"/>
    </row>
    <row r="17" spans="1:19" ht="22.5" customHeight="1" x14ac:dyDescent="0.3">
      <c r="A17" s="579" t="s">
        <v>246</v>
      </c>
      <c r="B17" s="579"/>
      <c r="C17" s="579"/>
      <c r="D17" s="579"/>
      <c r="E17" s="579"/>
      <c r="F17" s="579"/>
      <c r="G17" s="579"/>
      <c r="H17" s="579"/>
      <c r="I17" s="579"/>
      <c r="J17" s="579"/>
      <c r="K17" s="579"/>
      <c r="L17" s="579"/>
      <c r="M17" s="579"/>
      <c r="N17" s="579"/>
      <c r="O17" s="579"/>
      <c r="P17" s="579"/>
      <c r="Q17" s="579"/>
      <c r="R17" s="579"/>
      <c r="S17" s="224"/>
    </row>
    <row r="18" spans="1:19" x14ac:dyDescent="0.25">
      <c r="A18" s="121"/>
      <c r="B18" s="121"/>
      <c r="C18" s="121"/>
      <c r="D18" s="121"/>
      <c r="E18" s="122"/>
      <c r="F18" s="130"/>
      <c r="G18" s="130"/>
      <c r="H18" s="131"/>
      <c r="I18" s="131"/>
      <c r="J18" s="131"/>
      <c r="K18" s="131"/>
      <c r="L18" s="131"/>
      <c r="M18" s="131"/>
      <c r="N18" s="131"/>
      <c r="O18" s="131"/>
      <c r="P18" s="131"/>
      <c r="Q18" s="131"/>
      <c r="R18" s="131"/>
      <c r="S18" s="123"/>
    </row>
    <row r="19" spans="1:19" ht="15.75" customHeight="1" x14ac:dyDescent="0.25">
      <c r="A19" s="580" t="s">
        <v>173</v>
      </c>
      <c r="B19" s="577" t="s">
        <v>174</v>
      </c>
      <c r="C19" s="577" t="s">
        <v>175</v>
      </c>
      <c r="D19" s="577" t="s">
        <v>176</v>
      </c>
      <c r="E19" s="577" t="s">
        <v>247</v>
      </c>
      <c r="F19" s="577" t="s">
        <v>414</v>
      </c>
      <c r="G19" s="577" t="s">
        <v>248</v>
      </c>
      <c r="H19" s="577" t="s">
        <v>249</v>
      </c>
      <c r="I19" s="577" t="s">
        <v>250</v>
      </c>
      <c r="J19" s="577" t="s">
        <v>251</v>
      </c>
      <c r="K19" s="577" t="s">
        <v>252</v>
      </c>
      <c r="L19" s="577" t="s">
        <v>253</v>
      </c>
      <c r="M19" s="577" t="s">
        <v>254</v>
      </c>
      <c r="N19" s="577" t="s">
        <v>255</v>
      </c>
      <c r="O19" s="577" t="s">
        <v>256</v>
      </c>
      <c r="P19" s="577" t="s">
        <v>257</v>
      </c>
      <c r="Q19" s="577" t="s">
        <v>258</v>
      </c>
      <c r="R19" s="577" t="s">
        <v>259</v>
      </c>
      <c r="S19" s="582" t="s">
        <v>415</v>
      </c>
    </row>
    <row r="20" spans="1:19" ht="66.75" customHeight="1" x14ac:dyDescent="0.25">
      <c r="A20" s="581"/>
      <c r="B20" s="577"/>
      <c r="C20" s="577"/>
      <c r="D20" s="577"/>
      <c r="E20" s="577"/>
      <c r="F20" s="577"/>
      <c r="G20" s="577"/>
      <c r="H20" s="577"/>
      <c r="I20" s="577"/>
      <c r="J20" s="577"/>
      <c r="K20" s="577"/>
      <c r="L20" s="577"/>
      <c r="M20" s="577"/>
      <c r="N20" s="577"/>
      <c r="O20" s="577"/>
      <c r="P20" s="577"/>
      <c r="Q20" s="577"/>
      <c r="R20" s="577"/>
      <c r="S20" s="583"/>
    </row>
    <row r="21" spans="1:19" s="133" customFormat="1" ht="33" customHeight="1" x14ac:dyDescent="0.3">
      <c r="A21" s="134" t="s">
        <v>179</v>
      </c>
      <c r="B21" s="135" t="s">
        <v>180</v>
      </c>
      <c r="C21" s="136"/>
      <c r="D21" s="136"/>
      <c r="E21" s="132"/>
      <c r="F21" s="137">
        <f>ROUND(F26+F27,0)</f>
        <v>16098560</v>
      </c>
      <c r="G21" s="138">
        <f>G26+G27</f>
        <v>1341546.1499999999</v>
      </c>
      <c r="H21" s="138">
        <f t="shared" ref="H21:R21" si="0">H26+H27</f>
        <v>1341546.1499999999</v>
      </c>
      <c r="I21" s="138">
        <f t="shared" si="0"/>
        <v>1341546.1499999999</v>
      </c>
      <c r="J21" s="138">
        <f t="shared" si="0"/>
        <v>1341546.1499999999</v>
      </c>
      <c r="K21" s="138">
        <f t="shared" si="0"/>
        <v>1341546.1499999999</v>
      </c>
      <c r="L21" s="138">
        <f t="shared" si="0"/>
        <v>1341546.1499999999</v>
      </c>
      <c r="M21" s="138">
        <f t="shared" si="0"/>
        <v>1341546.1499999999</v>
      </c>
      <c r="N21" s="138">
        <f t="shared" si="0"/>
        <v>1341546.1499999999</v>
      </c>
      <c r="O21" s="138">
        <f t="shared" si="0"/>
        <v>1341546.1499999999</v>
      </c>
      <c r="P21" s="138">
        <f t="shared" si="0"/>
        <v>1341546.1499999999</v>
      </c>
      <c r="Q21" s="138">
        <f t="shared" si="0"/>
        <v>1341546.1499999999</v>
      </c>
      <c r="R21" s="138">
        <f t="shared" si="0"/>
        <v>1341552.3500000001</v>
      </c>
      <c r="S21" s="139">
        <f t="shared" ref="S21:S29" si="1">SUM(G21:R21)</f>
        <v>16098560.000000002</v>
      </c>
    </row>
    <row r="22" spans="1:19" ht="18.75" x14ac:dyDescent="0.3">
      <c r="A22" s="140"/>
      <c r="B22" s="141" t="s">
        <v>181</v>
      </c>
      <c r="C22" s="142" t="s">
        <v>182</v>
      </c>
      <c r="D22" s="143">
        <v>60</v>
      </c>
      <c r="E22" s="144">
        <v>15043.266659999999</v>
      </c>
      <c r="F22" s="145">
        <f>D22*E22*12</f>
        <v>10831151.995200001</v>
      </c>
      <c r="G22" s="146">
        <v>902596</v>
      </c>
      <c r="H22" s="146">
        <f t="shared" ref="H22:R25" si="2">G22</f>
        <v>902596</v>
      </c>
      <c r="I22" s="146">
        <f t="shared" si="2"/>
        <v>902596</v>
      </c>
      <c r="J22" s="146">
        <f t="shared" si="2"/>
        <v>902596</v>
      </c>
      <c r="K22" s="146">
        <f t="shared" si="2"/>
        <v>902596</v>
      </c>
      <c r="L22" s="146">
        <f t="shared" si="2"/>
        <v>902596</v>
      </c>
      <c r="M22" s="146">
        <f t="shared" si="2"/>
        <v>902596</v>
      </c>
      <c r="N22" s="146">
        <f t="shared" si="2"/>
        <v>902596</v>
      </c>
      <c r="O22" s="146">
        <f t="shared" si="2"/>
        <v>902596</v>
      </c>
      <c r="P22" s="146">
        <f t="shared" si="2"/>
        <v>902596</v>
      </c>
      <c r="Q22" s="146">
        <f t="shared" si="2"/>
        <v>902596</v>
      </c>
      <c r="R22" s="146">
        <f t="shared" si="2"/>
        <v>902596</v>
      </c>
      <c r="S22" s="147">
        <f t="shared" si="1"/>
        <v>10831152</v>
      </c>
    </row>
    <row r="23" spans="1:19" ht="18.75" x14ac:dyDescent="0.3">
      <c r="A23" s="140"/>
      <c r="B23" s="141" t="s">
        <v>260</v>
      </c>
      <c r="C23" s="142" t="s">
        <v>182</v>
      </c>
      <c r="D23" s="143">
        <v>59</v>
      </c>
      <c r="E23" s="144">
        <v>1483.6421499999999</v>
      </c>
      <c r="F23" s="145">
        <f>D23*E23*12-0.64</f>
        <v>1050418.0022</v>
      </c>
      <c r="G23" s="146">
        <v>87534.65</v>
      </c>
      <c r="H23" s="146">
        <f t="shared" si="2"/>
        <v>87534.65</v>
      </c>
      <c r="I23" s="146">
        <f t="shared" si="2"/>
        <v>87534.65</v>
      </c>
      <c r="J23" s="146">
        <f t="shared" si="2"/>
        <v>87534.65</v>
      </c>
      <c r="K23" s="146">
        <f t="shared" si="2"/>
        <v>87534.65</v>
      </c>
      <c r="L23" s="146">
        <f t="shared" si="2"/>
        <v>87534.65</v>
      </c>
      <c r="M23" s="146">
        <f t="shared" si="2"/>
        <v>87534.65</v>
      </c>
      <c r="N23" s="146">
        <f t="shared" si="2"/>
        <v>87534.65</v>
      </c>
      <c r="O23" s="146">
        <f t="shared" si="2"/>
        <v>87534.65</v>
      </c>
      <c r="P23" s="146">
        <f t="shared" si="2"/>
        <v>87534.65</v>
      </c>
      <c r="Q23" s="146">
        <f t="shared" si="2"/>
        <v>87534.65</v>
      </c>
      <c r="R23" s="146">
        <f>G23+2.2</f>
        <v>87536.849999999991</v>
      </c>
      <c r="S23" s="147">
        <f t="shared" si="1"/>
        <v>1050418.0000000002</v>
      </c>
    </row>
    <row r="24" spans="1:19" ht="18.75" x14ac:dyDescent="0.25">
      <c r="A24" s="140"/>
      <c r="B24" s="141" t="s">
        <v>184</v>
      </c>
      <c r="C24" s="148" t="s">
        <v>182</v>
      </c>
      <c r="D24" s="149">
        <v>50</v>
      </c>
      <c r="E24" s="146">
        <v>1454.654992</v>
      </c>
      <c r="F24" s="145">
        <f>D24*E24*12-3</f>
        <v>872789.9952</v>
      </c>
      <c r="G24" s="146">
        <v>72732.5</v>
      </c>
      <c r="H24" s="146">
        <f>G24</f>
        <v>72732.5</v>
      </c>
      <c r="I24" s="146">
        <f>G24</f>
        <v>72732.5</v>
      </c>
      <c r="J24" s="146">
        <f t="shared" si="2"/>
        <v>72732.5</v>
      </c>
      <c r="K24" s="146">
        <f t="shared" si="2"/>
        <v>72732.5</v>
      </c>
      <c r="L24" s="146">
        <f t="shared" si="2"/>
        <v>72732.5</v>
      </c>
      <c r="M24" s="146">
        <f t="shared" si="2"/>
        <v>72732.5</v>
      </c>
      <c r="N24" s="146">
        <f t="shared" si="2"/>
        <v>72732.5</v>
      </c>
      <c r="O24" s="146">
        <f t="shared" si="2"/>
        <v>72732.5</v>
      </c>
      <c r="P24" s="146">
        <f t="shared" si="2"/>
        <v>72732.5</v>
      </c>
      <c r="Q24" s="146">
        <f t="shared" si="2"/>
        <v>72732.5</v>
      </c>
      <c r="R24" s="146">
        <f>G24</f>
        <v>72732.5</v>
      </c>
      <c r="S24" s="147">
        <f t="shared" si="1"/>
        <v>872790</v>
      </c>
    </row>
    <row r="25" spans="1:19" ht="52.5" customHeight="1" x14ac:dyDescent="0.25">
      <c r="A25" s="140"/>
      <c r="B25" s="141" t="s">
        <v>185</v>
      </c>
      <c r="C25" s="148" t="s">
        <v>182</v>
      </c>
      <c r="D25" s="149">
        <v>55</v>
      </c>
      <c r="E25" s="146">
        <v>3699.3990349999999</v>
      </c>
      <c r="F25" s="145">
        <f>D25*E25*12+0.64</f>
        <v>2441604.0030999999</v>
      </c>
      <c r="G25" s="146">
        <v>203467</v>
      </c>
      <c r="H25" s="146">
        <f>G25</f>
        <v>203467</v>
      </c>
      <c r="I25" s="146">
        <f>H25</f>
        <v>203467</v>
      </c>
      <c r="J25" s="146">
        <f t="shared" si="2"/>
        <v>203467</v>
      </c>
      <c r="K25" s="146">
        <f t="shared" si="2"/>
        <v>203467</v>
      </c>
      <c r="L25" s="146">
        <f t="shared" si="2"/>
        <v>203467</v>
      </c>
      <c r="M25" s="146">
        <f t="shared" si="2"/>
        <v>203467</v>
      </c>
      <c r="N25" s="146">
        <f t="shared" si="2"/>
        <v>203467</v>
      </c>
      <c r="O25" s="146">
        <f t="shared" si="2"/>
        <v>203467</v>
      </c>
      <c r="P25" s="146">
        <f t="shared" si="2"/>
        <v>203467</v>
      </c>
      <c r="Q25" s="146">
        <f t="shared" si="2"/>
        <v>203467</v>
      </c>
      <c r="R25" s="146">
        <f>G25</f>
        <v>203467</v>
      </c>
      <c r="S25" s="147">
        <f t="shared" si="1"/>
        <v>2441604</v>
      </c>
    </row>
    <row r="26" spans="1:19" ht="18.75" x14ac:dyDescent="0.3">
      <c r="A26" s="140"/>
      <c r="B26" s="150" t="s">
        <v>178</v>
      </c>
      <c r="C26" s="151"/>
      <c r="D26" s="152"/>
      <c r="E26" s="153"/>
      <c r="F26" s="153">
        <f>F22+F23+F24+F25</f>
        <v>15195963.995700002</v>
      </c>
      <c r="G26" s="153">
        <f>G22+G23+G24+G25</f>
        <v>1266330.1499999999</v>
      </c>
      <c r="H26" s="153">
        <f t="shared" ref="H26:R26" si="3">H22+H23+H24+H25</f>
        <v>1266330.1499999999</v>
      </c>
      <c r="I26" s="153">
        <f t="shared" si="3"/>
        <v>1266330.1499999999</v>
      </c>
      <c r="J26" s="153">
        <f t="shared" si="3"/>
        <v>1266330.1499999999</v>
      </c>
      <c r="K26" s="153">
        <f t="shared" si="3"/>
        <v>1266330.1499999999</v>
      </c>
      <c r="L26" s="153">
        <f t="shared" si="3"/>
        <v>1266330.1499999999</v>
      </c>
      <c r="M26" s="153">
        <f t="shared" si="3"/>
        <v>1266330.1499999999</v>
      </c>
      <c r="N26" s="153">
        <f t="shared" si="3"/>
        <v>1266330.1499999999</v>
      </c>
      <c r="O26" s="153">
        <f t="shared" si="3"/>
        <v>1266330.1499999999</v>
      </c>
      <c r="P26" s="153">
        <f t="shared" si="3"/>
        <v>1266330.1499999999</v>
      </c>
      <c r="Q26" s="153">
        <f t="shared" si="3"/>
        <v>1266330.1499999999</v>
      </c>
      <c r="R26" s="153">
        <f t="shared" si="3"/>
        <v>1266332.3500000001</v>
      </c>
      <c r="S26" s="147">
        <f t="shared" si="1"/>
        <v>15195964.000000002</v>
      </c>
    </row>
    <row r="27" spans="1:19" ht="68.25" customHeight="1" x14ac:dyDescent="0.25">
      <c r="A27" s="154"/>
      <c r="B27" s="150" t="s">
        <v>186</v>
      </c>
      <c r="C27" s="155" t="s">
        <v>182</v>
      </c>
      <c r="D27" s="156">
        <v>60</v>
      </c>
      <c r="E27" s="153">
        <v>15043.266659999999</v>
      </c>
      <c r="F27" s="153">
        <f>E27*D27</f>
        <v>902595.99959999998</v>
      </c>
      <c r="G27" s="153">
        <v>75216</v>
      </c>
      <c r="H27" s="153">
        <f>G27</f>
        <v>75216</v>
      </c>
      <c r="I27" s="153">
        <f>H27</f>
        <v>75216</v>
      </c>
      <c r="J27" s="153">
        <f t="shared" ref="J27" si="4">I27</f>
        <v>75216</v>
      </c>
      <c r="K27" s="153">
        <f t="shared" ref="K27" si="5">J27</f>
        <v>75216</v>
      </c>
      <c r="L27" s="153">
        <f t="shared" ref="L27" si="6">K27</f>
        <v>75216</v>
      </c>
      <c r="M27" s="153">
        <f t="shared" ref="M27" si="7">L27</f>
        <v>75216</v>
      </c>
      <c r="N27" s="153">
        <f t="shared" ref="N27" si="8">M27</f>
        <v>75216</v>
      </c>
      <c r="O27" s="153">
        <f t="shared" ref="O27" si="9">N27</f>
        <v>75216</v>
      </c>
      <c r="P27" s="153">
        <f t="shared" ref="P27" si="10">O27</f>
        <v>75216</v>
      </c>
      <c r="Q27" s="153">
        <f t="shared" ref="Q27" si="11">P27</f>
        <v>75216</v>
      </c>
      <c r="R27" s="153">
        <f>G27+4</f>
        <v>75220</v>
      </c>
      <c r="S27" s="147">
        <f t="shared" si="1"/>
        <v>902596</v>
      </c>
    </row>
    <row r="28" spans="1:19" s="133" customFormat="1" ht="32.25" customHeight="1" x14ac:dyDescent="0.3">
      <c r="A28" s="157" t="s">
        <v>187</v>
      </c>
      <c r="B28" s="158" t="s">
        <v>188</v>
      </c>
      <c r="C28" s="159"/>
      <c r="D28" s="136"/>
      <c r="E28" s="160"/>
      <c r="F28" s="137">
        <f>F29</f>
        <v>3541683</v>
      </c>
      <c r="G28" s="137">
        <f>G29</f>
        <v>295140</v>
      </c>
      <c r="H28" s="137">
        <f t="shared" ref="H28:R28" si="12">H29</f>
        <v>295140</v>
      </c>
      <c r="I28" s="137">
        <f t="shared" si="12"/>
        <v>295140</v>
      </c>
      <c r="J28" s="137">
        <f t="shared" si="12"/>
        <v>295140</v>
      </c>
      <c r="K28" s="137">
        <f t="shared" si="12"/>
        <v>295140</v>
      </c>
      <c r="L28" s="137">
        <f t="shared" si="12"/>
        <v>295140</v>
      </c>
      <c r="M28" s="137">
        <f t="shared" si="12"/>
        <v>295140</v>
      </c>
      <c r="N28" s="137">
        <f t="shared" si="12"/>
        <v>295140</v>
      </c>
      <c r="O28" s="137">
        <f t="shared" si="12"/>
        <v>295140</v>
      </c>
      <c r="P28" s="137">
        <f t="shared" si="12"/>
        <v>295140</v>
      </c>
      <c r="Q28" s="137">
        <f t="shared" si="12"/>
        <v>295140</v>
      </c>
      <c r="R28" s="137">
        <f t="shared" si="12"/>
        <v>295143</v>
      </c>
      <c r="S28" s="161">
        <f t="shared" si="1"/>
        <v>3541683</v>
      </c>
    </row>
    <row r="29" spans="1:19" ht="84.75" customHeight="1" x14ac:dyDescent="0.3">
      <c r="A29" s="140"/>
      <c r="B29" s="141" t="s">
        <v>189</v>
      </c>
      <c r="C29" s="148" t="s">
        <v>172</v>
      </c>
      <c r="D29" s="144"/>
      <c r="E29" s="162"/>
      <c r="F29" s="146">
        <f>F21*22%-0.2</f>
        <v>3541683</v>
      </c>
      <c r="G29" s="146">
        <v>295140</v>
      </c>
      <c r="H29" s="146">
        <f>G29</f>
        <v>295140</v>
      </c>
      <c r="I29" s="146">
        <f>H29</f>
        <v>295140</v>
      </c>
      <c r="J29" s="146">
        <f t="shared" ref="J29" si="13">I29</f>
        <v>295140</v>
      </c>
      <c r="K29" s="146">
        <f t="shared" ref="K29" si="14">J29</f>
        <v>295140</v>
      </c>
      <c r="L29" s="146">
        <f t="shared" ref="L29" si="15">K29</f>
        <v>295140</v>
      </c>
      <c r="M29" s="146">
        <f t="shared" ref="M29" si="16">L29</f>
        <v>295140</v>
      </c>
      <c r="N29" s="146">
        <f t="shared" ref="N29" si="17">M29</f>
        <v>295140</v>
      </c>
      <c r="O29" s="146">
        <f t="shared" ref="O29" si="18">N29</f>
        <v>295140</v>
      </c>
      <c r="P29" s="146">
        <f t="shared" ref="P29" si="19">O29</f>
        <v>295140</v>
      </c>
      <c r="Q29" s="146">
        <f t="shared" ref="Q29" si="20">P29</f>
        <v>295140</v>
      </c>
      <c r="R29" s="146">
        <f>G29+3</f>
        <v>295143</v>
      </c>
      <c r="S29" s="147">
        <f t="shared" si="1"/>
        <v>3541683</v>
      </c>
    </row>
    <row r="30" spans="1:19" s="133" customFormat="1" ht="32.25" x14ac:dyDescent="0.3">
      <c r="A30" s="157" t="s">
        <v>193</v>
      </c>
      <c r="B30" s="163" t="s">
        <v>194</v>
      </c>
      <c r="C30" s="164"/>
      <c r="D30" s="136"/>
      <c r="E30" s="160"/>
      <c r="F30" s="132">
        <f>F31+F43+F52+F55</f>
        <v>18038</v>
      </c>
      <c r="G30" s="132">
        <f t="shared" ref="G30:S30" si="21">G31+G43+G52+G55</f>
        <v>0</v>
      </c>
      <c r="H30" s="132">
        <f t="shared" si="21"/>
        <v>446438</v>
      </c>
      <c r="I30" s="132">
        <f t="shared" si="21"/>
        <v>0</v>
      </c>
      <c r="J30" s="132">
        <f t="shared" si="21"/>
        <v>0</v>
      </c>
      <c r="K30" s="132">
        <f t="shared" si="21"/>
        <v>0</v>
      </c>
      <c r="L30" s="132">
        <f t="shared" si="21"/>
        <v>0</v>
      </c>
      <c r="M30" s="132">
        <f t="shared" si="21"/>
        <v>0</v>
      </c>
      <c r="N30" s="132">
        <f t="shared" si="21"/>
        <v>0</v>
      </c>
      <c r="O30" s="132">
        <f t="shared" si="21"/>
        <v>495600</v>
      </c>
      <c r="P30" s="132">
        <f t="shared" si="21"/>
        <v>0</v>
      </c>
      <c r="Q30" s="132">
        <f t="shared" si="21"/>
        <v>0</v>
      </c>
      <c r="R30" s="132">
        <f t="shared" si="21"/>
        <v>0</v>
      </c>
      <c r="S30" s="132">
        <f t="shared" si="21"/>
        <v>942038</v>
      </c>
    </row>
    <row r="31" spans="1:19" s="133" customFormat="1" ht="19.5" x14ac:dyDescent="0.35">
      <c r="A31" s="157" t="s">
        <v>195</v>
      </c>
      <c r="B31" s="166" t="s">
        <v>196</v>
      </c>
      <c r="C31" s="167"/>
      <c r="D31" s="136"/>
      <c r="E31" s="160"/>
      <c r="F31" s="132">
        <f>SUM(F32:F42)</f>
        <v>14843</v>
      </c>
      <c r="G31" s="132">
        <f>SUM(G32:G42)</f>
        <v>0</v>
      </c>
      <c r="H31" s="132">
        <f>SUM(H32:H42)</f>
        <v>14843</v>
      </c>
      <c r="I31" s="132">
        <f t="shared" ref="I31:R31" si="22">SUM(I32:I42)</f>
        <v>0</v>
      </c>
      <c r="J31" s="132">
        <f t="shared" si="22"/>
        <v>0</v>
      </c>
      <c r="K31" s="132">
        <f t="shared" si="22"/>
        <v>0</v>
      </c>
      <c r="L31" s="132">
        <f t="shared" si="22"/>
        <v>0</v>
      </c>
      <c r="M31" s="132">
        <f t="shared" si="22"/>
        <v>0</v>
      </c>
      <c r="N31" s="132">
        <f t="shared" si="22"/>
        <v>0</v>
      </c>
      <c r="O31" s="132">
        <f t="shared" si="22"/>
        <v>0</v>
      </c>
      <c r="P31" s="132">
        <f t="shared" si="22"/>
        <v>0</v>
      </c>
      <c r="Q31" s="132">
        <f t="shared" si="22"/>
        <v>0</v>
      </c>
      <c r="R31" s="132">
        <f t="shared" si="22"/>
        <v>0</v>
      </c>
      <c r="S31" s="165">
        <f>SUM(S32:S42)</f>
        <v>14843</v>
      </c>
    </row>
    <row r="32" spans="1:19" ht="18.75" x14ac:dyDescent="0.3">
      <c r="A32" s="154"/>
      <c r="B32" s="141" t="s">
        <v>197</v>
      </c>
      <c r="C32" s="142" t="s">
        <v>284</v>
      </c>
      <c r="D32" s="168">
        <v>2</v>
      </c>
      <c r="E32" s="169">
        <v>26.5</v>
      </c>
      <c r="F32" s="146">
        <f t="shared" ref="F32:F58" si="23">ROUND(D32*E32,2)</f>
        <v>53</v>
      </c>
      <c r="G32" s="146"/>
      <c r="H32" s="146">
        <v>53</v>
      </c>
      <c r="I32" s="146"/>
      <c r="J32" s="146"/>
      <c r="K32" s="146"/>
      <c r="L32" s="146"/>
      <c r="M32" s="146"/>
      <c r="N32" s="153"/>
      <c r="O32" s="153"/>
      <c r="P32" s="153"/>
      <c r="Q32" s="153"/>
      <c r="R32" s="153"/>
      <c r="S32" s="147">
        <f t="shared" ref="S32:S65" si="24">SUM(G32:R32)</f>
        <v>53</v>
      </c>
    </row>
    <row r="33" spans="1:19" ht="18.75" x14ac:dyDescent="0.3">
      <c r="A33" s="154"/>
      <c r="B33" s="170" t="s">
        <v>285</v>
      </c>
      <c r="C33" s="142" t="s">
        <v>286</v>
      </c>
      <c r="D33" s="168">
        <v>68</v>
      </c>
      <c r="E33" s="169">
        <v>171</v>
      </c>
      <c r="F33" s="146">
        <f t="shared" si="23"/>
        <v>11628</v>
      </c>
      <c r="G33" s="146"/>
      <c r="H33" s="146">
        <v>11628</v>
      </c>
      <c r="I33" s="146"/>
      <c r="J33" s="146"/>
      <c r="K33" s="146"/>
      <c r="L33" s="146"/>
      <c r="M33" s="146"/>
      <c r="N33" s="153"/>
      <c r="O33" s="153"/>
      <c r="P33" s="153"/>
      <c r="Q33" s="153"/>
      <c r="R33" s="153"/>
      <c r="S33" s="147">
        <f t="shared" si="24"/>
        <v>11628</v>
      </c>
    </row>
    <row r="34" spans="1:19" ht="18.75" x14ac:dyDescent="0.3">
      <c r="A34" s="154"/>
      <c r="B34" s="141" t="s">
        <v>262</v>
      </c>
      <c r="C34" s="142" t="s">
        <v>261</v>
      </c>
      <c r="D34" s="168">
        <v>25</v>
      </c>
      <c r="E34" s="169">
        <v>6.9</v>
      </c>
      <c r="F34" s="146">
        <f t="shared" si="23"/>
        <v>172.5</v>
      </c>
      <c r="G34" s="146"/>
      <c r="H34" s="146">
        <v>172.5</v>
      </c>
      <c r="I34" s="146"/>
      <c r="J34" s="146"/>
      <c r="K34" s="146"/>
      <c r="L34" s="146"/>
      <c r="M34" s="146"/>
      <c r="N34" s="153"/>
      <c r="O34" s="153"/>
      <c r="P34" s="153"/>
      <c r="Q34" s="153"/>
      <c r="R34" s="153"/>
      <c r="S34" s="147">
        <f t="shared" si="24"/>
        <v>172.5</v>
      </c>
    </row>
    <row r="35" spans="1:19" ht="18.75" x14ac:dyDescent="0.3">
      <c r="A35" s="154"/>
      <c r="B35" s="141" t="s">
        <v>382</v>
      </c>
      <c r="C35" s="142" t="s">
        <v>261</v>
      </c>
      <c r="D35" s="168">
        <v>4</v>
      </c>
      <c r="E35" s="169">
        <v>96.6</v>
      </c>
      <c r="F35" s="146">
        <f t="shared" si="23"/>
        <v>386.4</v>
      </c>
      <c r="G35" s="146"/>
      <c r="H35" s="146">
        <v>386.4</v>
      </c>
      <c r="I35" s="146"/>
      <c r="J35" s="146"/>
      <c r="K35" s="146"/>
      <c r="L35" s="146"/>
      <c r="M35" s="146"/>
      <c r="N35" s="153"/>
      <c r="O35" s="153"/>
      <c r="P35" s="153"/>
      <c r="Q35" s="153"/>
      <c r="R35" s="153"/>
      <c r="S35" s="147">
        <f t="shared" si="24"/>
        <v>386.4</v>
      </c>
    </row>
    <row r="36" spans="1:19" ht="23.25" customHeight="1" x14ac:dyDescent="0.3">
      <c r="A36" s="154"/>
      <c r="B36" s="141" t="s">
        <v>383</v>
      </c>
      <c r="C36" s="142" t="s">
        <v>261</v>
      </c>
      <c r="D36" s="168">
        <v>5</v>
      </c>
      <c r="E36" s="169">
        <v>96.6</v>
      </c>
      <c r="F36" s="146">
        <f t="shared" si="23"/>
        <v>483</v>
      </c>
      <c r="G36" s="146"/>
      <c r="H36" s="146">
        <v>483</v>
      </c>
      <c r="I36" s="146"/>
      <c r="J36" s="146"/>
      <c r="K36" s="146"/>
      <c r="L36" s="146"/>
      <c r="M36" s="146"/>
      <c r="N36" s="153"/>
      <c r="O36" s="153"/>
      <c r="P36" s="153"/>
      <c r="Q36" s="153"/>
      <c r="R36" s="153"/>
      <c r="S36" s="147">
        <f t="shared" si="24"/>
        <v>483</v>
      </c>
    </row>
    <row r="37" spans="1:19" ht="18.75" x14ac:dyDescent="0.3">
      <c r="A37" s="154"/>
      <c r="B37" s="141" t="s">
        <v>263</v>
      </c>
      <c r="C37" s="142" t="s">
        <v>261</v>
      </c>
      <c r="D37" s="168">
        <v>5</v>
      </c>
      <c r="E37" s="169">
        <v>7.8</v>
      </c>
      <c r="F37" s="146">
        <f t="shared" si="23"/>
        <v>39</v>
      </c>
      <c r="G37" s="146"/>
      <c r="H37" s="146">
        <v>39</v>
      </c>
      <c r="I37" s="146"/>
      <c r="J37" s="146"/>
      <c r="K37" s="146"/>
      <c r="L37" s="146"/>
      <c r="M37" s="146"/>
      <c r="N37" s="153"/>
      <c r="O37" s="153"/>
      <c r="P37" s="153"/>
      <c r="Q37" s="153"/>
      <c r="R37" s="153"/>
      <c r="S37" s="147">
        <f t="shared" si="24"/>
        <v>39</v>
      </c>
    </row>
    <row r="38" spans="1:19" ht="18.75" x14ac:dyDescent="0.3">
      <c r="A38" s="154"/>
      <c r="B38" s="141" t="s">
        <v>201</v>
      </c>
      <c r="C38" s="142" t="s">
        <v>289</v>
      </c>
      <c r="D38" s="168">
        <v>4</v>
      </c>
      <c r="E38" s="169">
        <v>29.4</v>
      </c>
      <c r="F38" s="146">
        <f t="shared" si="23"/>
        <v>117.6</v>
      </c>
      <c r="G38" s="146"/>
      <c r="H38" s="146">
        <v>117.6</v>
      </c>
      <c r="I38" s="146"/>
      <c r="J38" s="146"/>
      <c r="K38" s="146"/>
      <c r="L38" s="146"/>
      <c r="M38" s="146"/>
      <c r="N38" s="153"/>
      <c r="O38" s="153"/>
      <c r="P38" s="153"/>
      <c r="Q38" s="153"/>
      <c r="R38" s="153"/>
      <c r="S38" s="147">
        <f t="shared" si="24"/>
        <v>117.6</v>
      </c>
    </row>
    <row r="39" spans="1:19" ht="18.75" x14ac:dyDescent="0.3">
      <c r="A39" s="154"/>
      <c r="B39" s="141" t="s">
        <v>202</v>
      </c>
      <c r="C39" s="142" t="s">
        <v>261</v>
      </c>
      <c r="D39" s="168">
        <v>5</v>
      </c>
      <c r="E39" s="169">
        <v>13.2</v>
      </c>
      <c r="F39" s="146">
        <f t="shared" si="23"/>
        <v>66</v>
      </c>
      <c r="G39" s="146"/>
      <c r="H39" s="146">
        <v>66</v>
      </c>
      <c r="I39" s="146"/>
      <c r="J39" s="146"/>
      <c r="K39" s="146"/>
      <c r="L39" s="146"/>
      <c r="M39" s="146"/>
      <c r="N39" s="153"/>
      <c r="O39" s="153"/>
      <c r="P39" s="153"/>
      <c r="Q39" s="153"/>
      <c r="R39" s="153"/>
      <c r="S39" s="147">
        <f t="shared" si="24"/>
        <v>66</v>
      </c>
    </row>
    <row r="40" spans="1:19" ht="18.75" x14ac:dyDescent="0.3">
      <c r="A40" s="154"/>
      <c r="B40" s="141" t="s">
        <v>233</v>
      </c>
      <c r="C40" s="142" t="s">
        <v>261</v>
      </c>
      <c r="D40" s="168">
        <v>1</v>
      </c>
      <c r="E40" s="169">
        <v>420</v>
      </c>
      <c r="F40" s="146">
        <f t="shared" si="23"/>
        <v>420</v>
      </c>
      <c r="G40" s="146"/>
      <c r="H40" s="146">
        <v>420</v>
      </c>
      <c r="I40" s="146"/>
      <c r="J40" s="146"/>
      <c r="K40" s="146"/>
      <c r="L40" s="146"/>
      <c r="M40" s="146"/>
      <c r="N40" s="153"/>
      <c r="O40" s="153"/>
      <c r="P40" s="153"/>
      <c r="Q40" s="153"/>
      <c r="R40" s="153"/>
      <c r="S40" s="147">
        <f t="shared" si="24"/>
        <v>420</v>
      </c>
    </row>
    <row r="41" spans="1:19" ht="20.25" customHeight="1" x14ac:dyDescent="0.25">
      <c r="A41" s="154"/>
      <c r="B41" s="141" t="s">
        <v>233</v>
      </c>
      <c r="C41" s="148" t="s">
        <v>261</v>
      </c>
      <c r="D41" s="171">
        <v>3</v>
      </c>
      <c r="E41" s="172">
        <v>480</v>
      </c>
      <c r="F41" s="146">
        <f t="shared" si="23"/>
        <v>1440</v>
      </c>
      <c r="G41" s="146"/>
      <c r="H41" s="146">
        <v>1440</v>
      </c>
      <c r="I41" s="146"/>
      <c r="J41" s="146"/>
      <c r="K41" s="146"/>
      <c r="L41" s="146"/>
      <c r="M41" s="146"/>
      <c r="N41" s="153"/>
      <c r="O41" s="153"/>
      <c r="P41" s="153"/>
      <c r="Q41" s="153"/>
      <c r="R41" s="153"/>
      <c r="S41" s="147">
        <f t="shared" si="24"/>
        <v>1440</v>
      </c>
    </row>
    <row r="42" spans="1:19" ht="18.75" x14ac:dyDescent="0.3">
      <c r="A42" s="154"/>
      <c r="B42" s="141" t="s">
        <v>264</v>
      </c>
      <c r="C42" s="142" t="s">
        <v>261</v>
      </c>
      <c r="D42" s="168">
        <v>5</v>
      </c>
      <c r="E42" s="169">
        <v>7.5</v>
      </c>
      <c r="F42" s="146">
        <f t="shared" si="23"/>
        <v>37.5</v>
      </c>
      <c r="G42" s="146"/>
      <c r="H42" s="146">
        <v>37.5</v>
      </c>
      <c r="I42" s="146"/>
      <c r="J42" s="146"/>
      <c r="K42" s="146"/>
      <c r="L42" s="146"/>
      <c r="M42" s="146"/>
      <c r="N42" s="153"/>
      <c r="O42" s="153"/>
      <c r="P42" s="153"/>
      <c r="Q42" s="153"/>
      <c r="R42" s="153"/>
      <c r="S42" s="147">
        <f t="shared" si="24"/>
        <v>37.5</v>
      </c>
    </row>
    <row r="43" spans="1:19" ht="19.5" x14ac:dyDescent="0.35">
      <c r="A43" s="430" t="s">
        <v>290</v>
      </c>
      <c r="B43" s="166" t="s">
        <v>291</v>
      </c>
      <c r="C43" s="431"/>
      <c r="D43" s="432"/>
      <c r="E43" s="433"/>
      <c r="F43" s="132"/>
      <c r="G43" s="132">
        <f t="shared" ref="G43:S43" si="25">SUM(G44:G51)</f>
        <v>0</v>
      </c>
      <c r="H43" s="132">
        <f t="shared" si="25"/>
        <v>322000</v>
      </c>
      <c r="I43" s="132">
        <f t="shared" si="25"/>
        <v>0</v>
      </c>
      <c r="J43" s="132">
        <f t="shared" si="25"/>
        <v>0</v>
      </c>
      <c r="K43" s="132">
        <f t="shared" si="25"/>
        <v>0</v>
      </c>
      <c r="L43" s="132">
        <f t="shared" si="25"/>
        <v>0</v>
      </c>
      <c r="M43" s="132">
        <f t="shared" si="25"/>
        <v>0</v>
      </c>
      <c r="N43" s="132">
        <f t="shared" si="25"/>
        <v>0</v>
      </c>
      <c r="O43" s="132">
        <f t="shared" si="25"/>
        <v>355600</v>
      </c>
      <c r="P43" s="132">
        <f t="shared" si="25"/>
        <v>0</v>
      </c>
      <c r="Q43" s="132">
        <f t="shared" si="25"/>
        <v>0</v>
      </c>
      <c r="R43" s="132">
        <f t="shared" si="25"/>
        <v>0</v>
      </c>
      <c r="S43" s="132">
        <f t="shared" si="25"/>
        <v>677600</v>
      </c>
    </row>
    <row r="44" spans="1:19" ht="18.75" x14ac:dyDescent="0.25">
      <c r="A44" s="294"/>
      <c r="B44" s="434" t="s">
        <v>292</v>
      </c>
      <c r="C44" s="258" t="s">
        <v>293</v>
      </c>
      <c r="D44" s="258">
        <v>56</v>
      </c>
      <c r="E44" s="435">
        <v>3500</v>
      </c>
      <c r="F44" s="146">
        <f t="shared" si="23"/>
        <v>196000</v>
      </c>
      <c r="G44" s="146"/>
      <c r="H44" s="146">
        <v>196000</v>
      </c>
      <c r="I44" s="146"/>
      <c r="J44" s="146"/>
      <c r="K44" s="146"/>
      <c r="L44" s="146"/>
      <c r="M44" s="146"/>
      <c r="N44" s="153"/>
      <c r="O44" s="146"/>
      <c r="P44" s="146"/>
      <c r="Q44" s="146"/>
      <c r="R44" s="146"/>
      <c r="S44" s="147">
        <f t="shared" si="24"/>
        <v>196000</v>
      </c>
    </row>
    <row r="45" spans="1:19" ht="18.75" x14ac:dyDescent="0.25">
      <c r="A45" s="294"/>
      <c r="B45" s="434" t="s">
        <v>294</v>
      </c>
      <c r="C45" s="258" t="s">
        <v>293</v>
      </c>
      <c r="D45" s="258">
        <v>56</v>
      </c>
      <c r="E45" s="435">
        <v>4700</v>
      </c>
      <c r="F45" s="146">
        <f t="shared" si="23"/>
        <v>263200</v>
      </c>
      <c r="G45" s="146"/>
      <c r="H45" s="146"/>
      <c r="I45" s="146"/>
      <c r="J45" s="146"/>
      <c r="K45" s="146"/>
      <c r="L45" s="146"/>
      <c r="M45" s="146"/>
      <c r="N45" s="153"/>
      <c r="O45" s="146">
        <v>263200</v>
      </c>
      <c r="P45" s="146"/>
      <c r="Q45" s="146"/>
      <c r="R45" s="146"/>
      <c r="S45" s="147">
        <f t="shared" si="24"/>
        <v>263200</v>
      </c>
    </row>
    <row r="46" spans="1:19" ht="18.75" x14ac:dyDescent="0.25">
      <c r="A46" s="294"/>
      <c r="B46" s="434" t="s">
        <v>295</v>
      </c>
      <c r="C46" s="258" t="s">
        <v>198</v>
      </c>
      <c r="D46" s="258">
        <v>56</v>
      </c>
      <c r="E46" s="435">
        <v>1400</v>
      </c>
      <c r="F46" s="146">
        <f t="shared" si="23"/>
        <v>78400</v>
      </c>
      <c r="G46" s="146"/>
      <c r="H46" s="146"/>
      <c r="I46" s="146"/>
      <c r="J46" s="146"/>
      <c r="K46" s="146"/>
      <c r="L46" s="146"/>
      <c r="M46" s="146"/>
      <c r="N46" s="153"/>
      <c r="O46" s="146">
        <v>78400</v>
      </c>
      <c r="P46" s="146"/>
      <c r="Q46" s="146"/>
      <c r="R46" s="146"/>
      <c r="S46" s="147">
        <f t="shared" si="24"/>
        <v>78400</v>
      </c>
    </row>
    <row r="47" spans="1:19" ht="18.75" x14ac:dyDescent="0.25">
      <c r="A47" s="294"/>
      <c r="B47" s="434" t="s">
        <v>296</v>
      </c>
      <c r="C47" s="258" t="s">
        <v>198</v>
      </c>
      <c r="D47" s="258">
        <v>56</v>
      </c>
      <c r="E47" s="435">
        <v>250</v>
      </c>
      <c r="F47" s="146">
        <f t="shared" si="23"/>
        <v>14000</v>
      </c>
      <c r="G47" s="146"/>
      <c r="H47" s="146"/>
      <c r="I47" s="146"/>
      <c r="J47" s="146"/>
      <c r="K47" s="146"/>
      <c r="L47" s="146"/>
      <c r="M47" s="146"/>
      <c r="N47" s="153"/>
      <c r="O47" s="146">
        <v>14000</v>
      </c>
      <c r="P47" s="146"/>
      <c r="Q47" s="146"/>
      <c r="R47" s="146"/>
      <c r="S47" s="147">
        <f t="shared" si="24"/>
        <v>14000</v>
      </c>
    </row>
    <row r="48" spans="1:19" ht="18.75" x14ac:dyDescent="0.25">
      <c r="A48" s="294"/>
      <c r="B48" s="434" t="s">
        <v>297</v>
      </c>
      <c r="C48" s="258" t="s">
        <v>198</v>
      </c>
      <c r="D48" s="258">
        <v>112</v>
      </c>
      <c r="E48" s="435">
        <v>650</v>
      </c>
      <c r="F48" s="146">
        <f t="shared" si="23"/>
        <v>72800</v>
      </c>
      <c r="G48" s="146"/>
      <c r="H48" s="146">
        <v>72800</v>
      </c>
      <c r="I48" s="146"/>
      <c r="J48" s="146"/>
      <c r="K48" s="146"/>
      <c r="L48" s="146"/>
      <c r="M48" s="146"/>
      <c r="N48" s="153"/>
      <c r="O48" s="146"/>
      <c r="P48" s="146"/>
      <c r="Q48" s="146"/>
      <c r="R48" s="146"/>
      <c r="S48" s="147">
        <f t="shared" si="24"/>
        <v>72800</v>
      </c>
    </row>
    <row r="49" spans="1:19" ht="18.75" x14ac:dyDescent="0.25">
      <c r="A49" s="294"/>
      <c r="B49" s="434" t="s">
        <v>298</v>
      </c>
      <c r="C49" s="258" t="s">
        <v>198</v>
      </c>
      <c r="D49" s="258">
        <v>56</v>
      </c>
      <c r="E49" s="435">
        <v>350</v>
      </c>
      <c r="F49" s="146">
        <f t="shared" si="23"/>
        <v>19600</v>
      </c>
      <c r="G49" s="146"/>
      <c r="H49" s="146">
        <v>19600</v>
      </c>
      <c r="I49" s="146"/>
      <c r="J49" s="146"/>
      <c r="K49" s="146"/>
      <c r="L49" s="146"/>
      <c r="M49" s="146"/>
      <c r="N49" s="153"/>
      <c r="O49" s="146"/>
      <c r="P49" s="146"/>
      <c r="Q49" s="146"/>
      <c r="R49" s="146"/>
      <c r="S49" s="147">
        <f t="shared" si="24"/>
        <v>19600</v>
      </c>
    </row>
    <row r="50" spans="1:19" ht="18.75" x14ac:dyDescent="0.25">
      <c r="A50" s="294"/>
      <c r="B50" s="434" t="s">
        <v>299</v>
      </c>
      <c r="C50" s="258" t="s">
        <v>198</v>
      </c>
      <c r="D50" s="258">
        <v>56</v>
      </c>
      <c r="E50" s="435">
        <v>400</v>
      </c>
      <c r="F50" s="146">
        <f t="shared" si="23"/>
        <v>22400</v>
      </c>
      <c r="G50" s="146"/>
      <c r="H50" s="146">
        <v>22400</v>
      </c>
      <c r="I50" s="146"/>
      <c r="J50" s="146"/>
      <c r="K50" s="146"/>
      <c r="L50" s="146"/>
      <c r="M50" s="146"/>
      <c r="N50" s="153"/>
      <c r="O50" s="146"/>
      <c r="P50" s="146"/>
      <c r="Q50" s="146"/>
      <c r="R50" s="146"/>
      <c r="S50" s="147">
        <f t="shared" si="24"/>
        <v>22400</v>
      </c>
    </row>
    <row r="51" spans="1:19" ht="18.75" x14ac:dyDescent="0.25">
      <c r="A51" s="294"/>
      <c r="B51" s="434" t="s">
        <v>300</v>
      </c>
      <c r="C51" s="258" t="s">
        <v>198</v>
      </c>
      <c r="D51" s="258">
        <f>56*4</f>
        <v>224</v>
      </c>
      <c r="E51" s="435">
        <v>50</v>
      </c>
      <c r="F51" s="146">
        <f t="shared" si="23"/>
        <v>11200</v>
      </c>
      <c r="G51" s="146"/>
      <c r="H51" s="146">
        <v>11200</v>
      </c>
      <c r="I51" s="146"/>
      <c r="J51" s="146"/>
      <c r="K51" s="146"/>
      <c r="L51" s="146"/>
      <c r="M51" s="146"/>
      <c r="N51" s="153"/>
      <c r="O51" s="146"/>
      <c r="P51" s="146"/>
      <c r="Q51" s="146"/>
      <c r="R51" s="146"/>
      <c r="S51" s="147">
        <f t="shared" si="24"/>
        <v>11200</v>
      </c>
    </row>
    <row r="52" spans="1:19" ht="19.5" x14ac:dyDescent="0.35">
      <c r="A52" s="430" t="s">
        <v>301</v>
      </c>
      <c r="B52" s="166" t="s">
        <v>302</v>
      </c>
      <c r="C52" s="431"/>
      <c r="D52" s="432"/>
      <c r="E52" s="433"/>
      <c r="F52" s="132"/>
      <c r="G52" s="132">
        <f t="shared" ref="G52:S52" si="26">SUM(G53:G54)</f>
        <v>0</v>
      </c>
      <c r="H52" s="132">
        <f t="shared" si="26"/>
        <v>106400</v>
      </c>
      <c r="I52" s="132">
        <f t="shared" si="26"/>
        <v>0</v>
      </c>
      <c r="J52" s="132">
        <f t="shared" si="26"/>
        <v>0</v>
      </c>
      <c r="K52" s="132">
        <f t="shared" si="26"/>
        <v>0</v>
      </c>
      <c r="L52" s="132">
        <f t="shared" si="26"/>
        <v>0</v>
      </c>
      <c r="M52" s="132">
        <f t="shared" si="26"/>
        <v>0</v>
      </c>
      <c r="N52" s="132">
        <f t="shared" si="26"/>
        <v>0</v>
      </c>
      <c r="O52" s="132">
        <f t="shared" si="26"/>
        <v>140000</v>
      </c>
      <c r="P52" s="132">
        <f t="shared" si="26"/>
        <v>0</v>
      </c>
      <c r="Q52" s="132">
        <f t="shared" si="26"/>
        <v>0</v>
      </c>
      <c r="R52" s="132">
        <f t="shared" si="26"/>
        <v>0</v>
      </c>
      <c r="S52" s="132">
        <f t="shared" si="26"/>
        <v>246400</v>
      </c>
    </row>
    <row r="53" spans="1:19" ht="18.75" x14ac:dyDescent="0.25">
      <c r="A53" s="294"/>
      <c r="B53" s="434" t="s">
        <v>303</v>
      </c>
      <c r="C53" s="258" t="s">
        <v>304</v>
      </c>
      <c r="D53" s="437">
        <v>56</v>
      </c>
      <c r="E53" s="435">
        <v>1900</v>
      </c>
      <c r="F53" s="146">
        <f t="shared" si="23"/>
        <v>106400</v>
      </c>
      <c r="G53" s="146"/>
      <c r="H53" s="146">
        <v>106400</v>
      </c>
      <c r="I53" s="146"/>
      <c r="J53" s="146"/>
      <c r="K53" s="146"/>
      <c r="L53" s="146"/>
      <c r="M53" s="146"/>
      <c r="N53" s="146"/>
      <c r="O53" s="146"/>
      <c r="P53" s="146"/>
      <c r="Q53" s="146"/>
      <c r="R53" s="146"/>
      <c r="S53" s="147">
        <f t="shared" si="24"/>
        <v>106400</v>
      </c>
    </row>
    <row r="54" spans="1:19" ht="18.75" x14ac:dyDescent="0.25">
      <c r="A54" s="294"/>
      <c r="B54" s="434" t="s">
        <v>305</v>
      </c>
      <c r="C54" s="258" t="s">
        <v>304</v>
      </c>
      <c r="D54" s="437">
        <v>56</v>
      </c>
      <c r="E54" s="435">
        <v>2500</v>
      </c>
      <c r="F54" s="146">
        <f t="shared" si="23"/>
        <v>140000</v>
      </c>
      <c r="G54" s="146"/>
      <c r="H54" s="146"/>
      <c r="I54" s="146"/>
      <c r="J54" s="146"/>
      <c r="K54" s="146"/>
      <c r="L54" s="146"/>
      <c r="M54" s="146"/>
      <c r="N54" s="146"/>
      <c r="O54" s="146">
        <v>140000</v>
      </c>
      <c r="P54" s="146"/>
      <c r="Q54" s="146"/>
      <c r="R54" s="146"/>
      <c r="S54" s="147">
        <f t="shared" si="24"/>
        <v>140000</v>
      </c>
    </row>
    <row r="55" spans="1:19" ht="19.5" x14ac:dyDescent="0.35">
      <c r="A55" s="430" t="s">
        <v>306</v>
      </c>
      <c r="B55" s="166" t="s">
        <v>307</v>
      </c>
      <c r="C55" s="431"/>
      <c r="D55" s="432"/>
      <c r="E55" s="433"/>
      <c r="F55" s="132">
        <f>SUM(F56:F58)</f>
        <v>3195</v>
      </c>
      <c r="G55" s="132">
        <f t="shared" ref="G55:S55" si="27">SUM(G56:G58)</f>
        <v>0</v>
      </c>
      <c r="H55" s="132">
        <f t="shared" si="27"/>
        <v>3195</v>
      </c>
      <c r="I55" s="132">
        <f t="shared" si="27"/>
        <v>0</v>
      </c>
      <c r="J55" s="132">
        <f t="shared" si="27"/>
        <v>0</v>
      </c>
      <c r="K55" s="132">
        <f t="shared" si="27"/>
        <v>0</v>
      </c>
      <c r="L55" s="132">
        <f t="shared" si="27"/>
        <v>0</v>
      </c>
      <c r="M55" s="132">
        <f t="shared" si="27"/>
        <v>0</v>
      </c>
      <c r="N55" s="132">
        <f t="shared" si="27"/>
        <v>0</v>
      </c>
      <c r="O55" s="132">
        <f t="shared" si="27"/>
        <v>0</v>
      </c>
      <c r="P55" s="132">
        <f t="shared" si="27"/>
        <v>0</v>
      </c>
      <c r="Q55" s="132">
        <f t="shared" si="27"/>
        <v>0</v>
      </c>
      <c r="R55" s="132">
        <f t="shared" si="27"/>
        <v>0</v>
      </c>
      <c r="S55" s="132">
        <f t="shared" si="27"/>
        <v>3195</v>
      </c>
    </row>
    <row r="56" spans="1:19" ht="31.5" x14ac:dyDescent="0.25">
      <c r="A56" s="294"/>
      <c r="B56" s="434" t="s">
        <v>308</v>
      </c>
      <c r="C56" s="258" t="s">
        <v>198</v>
      </c>
      <c r="D56" s="258">
        <v>240</v>
      </c>
      <c r="E56" s="436">
        <v>12</v>
      </c>
      <c r="F56" s="146">
        <f t="shared" si="23"/>
        <v>2880</v>
      </c>
      <c r="G56" s="146"/>
      <c r="H56" s="146">
        <v>2880</v>
      </c>
      <c r="I56" s="146"/>
      <c r="J56" s="146"/>
      <c r="K56" s="146"/>
      <c r="L56" s="146"/>
      <c r="M56" s="146"/>
      <c r="N56" s="153"/>
      <c r="O56" s="153"/>
      <c r="P56" s="153"/>
      <c r="Q56" s="153"/>
      <c r="R56" s="153"/>
      <c r="S56" s="147">
        <f t="shared" si="24"/>
        <v>2880</v>
      </c>
    </row>
    <row r="57" spans="1:19" ht="35.25" customHeight="1" x14ac:dyDescent="0.25">
      <c r="A57" s="294"/>
      <c r="B57" s="434" t="s">
        <v>309</v>
      </c>
      <c r="C57" s="258" t="s">
        <v>198</v>
      </c>
      <c r="D57" s="258">
        <v>55</v>
      </c>
      <c r="E57" s="436">
        <v>5</v>
      </c>
      <c r="F57" s="146">
        <f t="shared" si="23"/>
        <v>275</v>
      </c>
      <c r="G57" s="146"/>
      <c r="H57" s="146">
        <v>275</v>
      </c>
      <c r="I57" s="146"/>
      <c r="J57" s="146"/>
      <c r="K57" s="146"/>
      <c r="L57" s="146"/>
      <c r="M57" s="146"/>
      <c r="N57" s="153"/>
      <c r="O57" s="153"/>
      <c r="P57" s="153"/>
      <c r="Q57" s="153"/>
      <c r="R57" s="153"/>
      <c r="S57" s="147">
        <f t="shared" si="24"/>
        <v>275</v>
      </c>
    </row>
    <row r="58" spans="1:19" ht="37.5" customHeight="1" x14ac:dyDescent="0.25">
      <c r="A58" s="294"/>
      <c r="B58" s="434" t="s">
        <v>310</v>
      </c>
      <c r="C58" s="258" t="s">
        <v>198</v>
      </c>
      <c r="D58" s="258">
        <v>5</v>
      </c>
      <c r="E58" s="436">
        <v>8</v>
      </c>
      <c r="F58" s="146">
        <f t="shared" si="23"/>
        <v>40</v>
      </c>
      <c r="G58" s="146"/>
      <c r="H58" s="146">
        <v>40</v>
      </c>
      <c r="I58" s="146"/>
      <c r="J58" s="146"/>
      <c r="K58" s="146"/>
      <c r="L58" s="146"/>
      <c r="M58" s="146"/>
      <c r="N58" s="153"/>
      <c r="O58" s="153"/>
      <c r="P58" s="153"/>
      <c r="Q58" s="153"/>
      <c r="R58" s="153"/>
      <c r="S58" s="147">
        <f t="shared" si="24"/>
        <v>40</v>
      </c>
    </row>
    <row r="59" spans="1:19" s="133" customFormat="1" ht="35.25" customHeight="1" x14ac:dyDescent="0.3">
      <c r="A59" s="157" t="s">
        <v>204</v>
      </c>
      <c r="B59" s="163" t="s">
        <v>205</v>
      </c>
      <c r="C59" s="173"/>
      <c r="D59" s="136"/>
      <c r="E59" s="174"/>
      <c r="F59" s="137">
        <f>F60+F65+F67+F71+F75</f>
        <v>1401128</v>
      </c>
      <c r="G59" s="137">
        <f t="shared" ref="G59:R59" si="28">G60+G65+G67+G71+G75</f>
        <v>1379</v>
      </c>
      <c r="H59" s="137">
        <f t="shared" si="28"/>
        <v>4399</v>
      </c>
      <c r="I59" s="137">
        <f t="shared" si="28"/>
        <v>1529</v>
      </c>
      <c r="J59" s="137">
        <f t="shared" si="28"/>
        <v>1379</v>
      </c>
      <c r="K59" s="137">
        <f t="shared" si="28"/>
        <v>1379</v>
      </c>
      <c r="L59" s="137">
        <f t="shared" si="28"/>
        <v>2889</v>
      </c>
      <c r="M59" s="137">
        <f t="shared" si="28"/>
        <v>1529</v>
      </c>
      <c r="N59" s="137">
        <f t="shared" si="28"/>
        <v>115409</v>
      </c>
      <c r="O59" s="137">
        <f t="shared" si="28"/>
        <v>115409</v>
      </c>
      <c r="P59" s="137">
        <f t="shared" si="28"/>
        <v>118429</v>
      </c>
      <c r="Q59" s="137">
        <f t="shared" si="28"/>
        <v>123779</v>
      </c>
      <c r="R59" s="137">
        <f t="shared" si="28"/>
        <v>115409</v>
      </c>
      <c r="S59" s="161">
        <f t="shared" si="24"/>
        <v>602918</v>
      </c>
    </row>
    <row r="60" spans="1:19" s="133" customFormat="1" ht="35.25" customHeight="1" x14ac:dyDescent="0.35">
      <c r="A60" s="160" t="s">
        <v>206</v>
      </c>
      <c r="B60" s="175" t="s">
        <v>265</v>
      </c>
      <c r="C60" s="175"/>
      <c r="D60" s="176"/>
      <c r="E60" s="136"/>
      <c r="F60" s="177">
        <f>SUM(F61:F64)</f>
        <v>7550</v>
      </c>
      <c r="G60" s="177">
        <f>SUM(G61:G64)</f>
        <v>0</v>
      </c>
      <c r="H60" s="177">
        <f>SUM(H61:H64)</f>
        <v>3020</v>
      </c>
      <c r="I60" s="177">
        <f t="shared" ref="I60:R60" si="29">SUM(I61:I64)</f>
        <v>0</v>
      </c>
      <c r="J60" s="177">
        <f t="shared" si="29"/>
        <v>0</v>
      </c>
      <c r="K60" s="177">
        <f t="shared" si="29"/>
        <v>0</v>
      </c>
      <c r="L60" s="177">
        <f t="shared" si="29"/>
        <v>1510</v>
      </c>
      <c r="M60" s="177">
        <f t="shared" si="29"/>
        <v>0</v>
      </c>
      <c r="N60" s="177">
        <f t="shared" si="29"/>
        <v>0</v>
      </c>
      <c r="O60" s="177">
        <f t="shared" si="29"/>
        <v>0</v>
      </c>
      <c r="P60" s="177">
        <f t="shared" si="29"/>
        <v>3020</v>
      </c>
      <c r="Q60" s="177">
        <f t="shared" si="29"/>
        <v>0</v>
      </c>
      <c r="R60" s="177">
        <f t="shared" si="29"/>
        <v>0</v>
      </c>
      <c r="S60" s="161">
        <f t="shared" si="24"/>
        <v>7550</v>
      </c>
    </row>
    <row r="61" spans="1:19" ht="34.5" customHeight="1" x14ac:dyDescent="0.25">
      <c r="A61" s="151"/>
      <c r="B61" s="439" t="s">
        <v>207</v>
      </c>
      <c r="C61" s="178" t="s">
        <v>208</v>
      </c>
      <c r="D61" s="171">
        <v>5</v>
      </c>
      <c r="E61" s="172">
        <v>380</v>
      </c>
      <c r="F61" s="145">
        <f>D61*E61</f>
        <v>1900</v>
      </c>
      <c r="G61" s="146"/>
      <c r="H61" s="146">
        <v>760</v>
      </c>
      <c r="I61" s="146"/>
      <c r="J61" s="146"/>
      <c r="K61" s="146"/>
      <c r="L61" s="146">
        <v>380</v>
      </c>
      <c r="M61" s="146"/>
      <c r="N61" s="146"/>
      <c r="O61" s="146"/>
      <c r="P61" s="146">
        <v>760</v>
      </c>
      <c r="Q61" s="146"/>
      <c r="R61" s="146"/>
      <c r="S61" s="147">
        <f>SUM(G61:R61)</f>
        <v>1900</v>
      </c>
    </row>
    <row r="62" spans="1:19" ht="38.25" customHeight="1" x14ac:dyDescent="0.25">
      <c r="A62" s="151"/>
      <c r="B62" s="439" t="s">
        <v>311</v>
      </c>
      <c r="C62" s="178" t="s">
        <v>208</v>
      </c>
      <c r="D62" s="171">
        <v>5</v>
      </c>
      <c r="E62" s="172">
        <v>280</v>
      </c>
      <c r="F62" s="145">
        <f>D62*E62</f>
        <v>1400</v>
      </c>
      <c r="G62" s="146"/>
      <c r="H62" s="146">
        <v>560</v>
      </c>
      <c r="I62" s="146"/>
      <c r="J62" s="146"/>
      <c r="K62" s="146"/>
      <c r="L62" s="146">
        <v>280</v>
      </c>
      <c r="M62" s="146"/>
      <c r="N62" s="146"/>
      <c r="O62" s="146"/>
      <c r="P62" s="146">
        <v>560</v>
      </c>
      <c r="Q62" s="146"/>
      <c r="R62" s="146"/>
      <c r="S62" s="147">
        <f>SUM(G62:R62)</f>
        <v>1400</v>
      </c>
    </row>
    <row r="63" spans="1:19" ht="56.25" customHeight="1" x14ac:dyDescent="0.25">
      <c r="A63" s="151"/>
      <c r="B63" s="439" t="s">
        <v>312</v>
      </c>
      <c r="C63" s="178" t="s">
        <v>208</v>
      </c>
      <c r="D63" s="171">
        <v>5</v>
      </c>
      <c r="E63" s="172">
        <v>500</v>
      </c>
      <c r="F63" s="145">
        <f>D63*E63</f>
        <v>2500</v>
      </c>
      <c r="G63" s="146"/>
      <c r="H63" s="146">
        <v>1000</v>
      </c>
      <c r="I63" s="146"/>
      <c r="J63" s="146"/>
      <c r="K63" s="146"/>
      <c r="L63" s="146">
        <v>500</v>
      </c>
      <c r="M63" s="146"/>
      <c r="N63" s="146"/>
      <c r="O63" s="146"/>
      <c r="P63" s="146">
        <v>1000</v>
      </c>
      <c r="Q63" s="146"/>
      <c r="R63" s="146"/>
      <c r="S63" s="147">
        <f t="shared" si="24"/>
        <v>2500</v>
      </c>
    </row>
    <row r="64" spans="1:19" ht="20.25" customHeight="1" x14ac:dyDescent="0.25">
      <c r="A64" s="151"/>
      <c r="B64" s="439" t="s">
        <v>209</v>
      </c>
      <c r="C64" s="178" t="s">
        <v>208</v>
      </c>
      <c r="D64" s="171">
        <v>5</v>
      </c>
      <c r="E64" s="172">
        <v>350</v>
      </c>
      <c r="F64" s="145">
        <f>D64*E64</f>
        <v>1750</v>
      </c>
      <c r="G64" s="146"/>
      <c r="H64" s="146">
        <v>700</v>
      </c>
      <c r="I64" s="146"/>
      <c r="J64" s="146"/>
      <c r="K64" s="146"/>
      <c r="L64" s="146">
        <f t="shared" ref="L64" si="30">E64</f>
        <v>350</v>
      </c>
      <c r="M64" s="146"/>
      <c r="N64" s="146"/>
      <c r="O64" s="146"/>
      <c r="P64" s="146">
        <v>700</v>
      </c>
      <c r="Q64" s="146"/>
      <c r="R64" s="146"/>
      <c r="S64" s="147">
        <f t="shared" si="24"/>
        <v>1750</v>
      </c>
    </row>
    <row r="65" spans="1:19" s="133" customFormat="1" ht="38.25" customHeight="1" x14ac:dyDescent="0.35">
      <c r="A65" s="160" t="s">
        <v>210</v>
      </c>
      <c r="B65" s="175" t="s">
        <v>266</v>
      </c>
      <c r="C65" s="175"/>
      <c r="D65" s="176"/>
      <c r="E65" s="136"/>
      <c r="F65" s="177">
        <f>F66</f>
        <v>6480</v>
      </c>
      <c r="G65" s="177">
        <v>540</v>
      </c>
      <c r="H65" s="177">
        <v>540</v>
      </c>
      <c r="I65" s="177">
        <v>540</v>
      </c>
      <c r="J65" s="177">
        <v>540</v>
      </c>
      <c r="K65" s="177">
        <v>540</v>
      </c>
      <c r="L65" s="177">
        <v>540</v>
      </c>
      <c r="M65" s="177">
        <v>540</v>
      </c>
      <c r="N65" s="177">
        <v>540</v>
      </c>
      <c r="O65" s="177">
        <v>540</v>
      </c>
      <c r="P65" s="177">
        <v>540</v>
      </c>
      <c r="Q65" s="177">
        <v>540</v>
      </c>
      <c r="R65" s="177">
        <v>540</v>
      </c>
      <c r="S65" s="223">
        <f t="shared" si="24"/>
        <v>6480</v>
      </c>
    </row>
    <row r="66" spans="1:19" ht="48.75" customHeight="1" x14ac:dyDescent="0.25">
      <c r="A66" s="151"/>
      <c r="B66" s="141" t="s">
        <v>267</v>
      </c>
      <c r="C66" s="148" t="s">
        <v>268</v>
      </c>
      <c r="D66" s="149">
        <v>30</v>
      </c>
      <c r="E66" s="172">
        <v>18</v>
      </c>
      <c r="F66" s="172">
        <f>D66*E66*12</f>
        <v>6480</v>
      </c>
      <c r="G66" s="146">
        <f>G65</f>
        <v>540</v>
      </c>
      <c r="H66" s="146">
        <f t="shared" ref="H66:R66" si="31">H65</f>
        <v>540</v>
      </c>
      <c r="I66" s="146">
        <f t="shared" si="31"/>
        <v>540</v>
      </c>
      <c r="J66" s="146">
        <f t="shared" si="31"/>
        <v>540</v>
      </c>
      <c r="K66" s="146">
        <f t="shared" si="31"/>
        <v>540</v>
      </c>
      <c r="L66" s="146">
        <f t="shared" si="31"/>
        <v>540</v>
      </c>
      <c r="M66" s="146">
        <f t="shared" si="31"/>
        <v>540</v>
      </c>
      <c r="N66" s="146">
        <f t="shared" si="31"/>
        <v>540</v>
      </c>
      <c r="O66" s="146">
        <f t="shared" si="31"/>
        <v>540</v>
      </c>
      <c r="P66" s="146">
        <f t="shared" si="31"/>
        <v>540</v>
      </c>
      <c r="Q66" s="146">
        <f t="shared" si="31"/>
        <v>540</v>
      </c>
      <c r="R66" s="146">
        <f t="shared" si="31"/>
        <v>540</v>
      </c>
      <c r="S66" s="147">
        <f>SUM(G66:R66)</f>
        <v>6480</v>
      </c>
    </row>
    <row r="67" spans="1:19" s="133" customFormat="1" ht="18.75" x14ac:dyDescent="0.3">
      <c r="A67" s="160" t="s">
        <v>214</v>
      </c>
      <c r="B67" s="166" t="s">
        <v>215</v>
      </c>
      <c r="C67" s="179"/>
      <c r="D67" s="180"/>
      <c r="E67" s="136"/>
      <c r="F67" s="137">
        <f>F68+F69+F70</f>
        <v>8220</v>
      </c>
      <c r="G67" s="137">
        <v>0</v>
      </c>
      <c r="H67" s="137">
        <f t="shared" ref="H67:R67" si="32">H68+H69+H70</f>
        <v>0</v>
      </c>
      <c r="I67" s="137">
        <f t="shared" si="32"/>
        <v>0</v>
      </c>
      <c r="J67" s="137">
        <f t="shared" si="32"/>
        <v>0</v>
      </c>
      <c r="K67" s="137">
        <f t="shared" si="32"/>
        <v>0</v>
      </c>
      <c r="L67" s="137">
        <f t="shared" si="32"/>
        <v>0</v>
      </c>
      <c r="M67" s="137">
        <f t="shared" si="32"/>
        <v>0</v>
      </c>
      <c r="N67" s="137">
        <f t="shared" si="32"/>
        <v>0</v>
      </c>
      <c r="O67" s="137">
        <f t="shared" si="32"/>
        <v>0</v>
      </c>
      <c r="P67" s="137">
        <f t="shared" si="32"/>
        <v>0</v>
      </c>
      <c r="Q67" s="137">
        <f t="shared" si="32"/>
        <v>8220</v>
      </c>
      <c r="R67" s="137">
        <f t="shared" si="32"/>
        <v>0</v>
      </c>
      <c r="S67" s="161">
        <f t="shared" ref="S67:S78" si="33">SUM(G67:R67)</f>
        <v>8220</v>
      </c>
    </row>
    <row r="68" spans="1:19" ht="18.75" x14ac:dyDescent="0.3">
      <c r="A68" s="151"/>
      <c r="B68" s="141" t="s">
        <v>216</v>
      </c>
      <c r="C68" s="162" t="s">
        <v>208</v>
      </c>
      <c r="D68" s="168">
        <v>3</v>
      </c>
      <c r="E68" s="169">
        <v>810</v>
      </c>
      <c r="F68" s="172">
        <f>D68*E68</f>
        <v>2430</v>
      </c>
      <c r="G68" s="145"/>
      <c r="H68" s="145"/>
      <c r="I68" s="438"/>
      <c r="J68" s="145"/>
      <c r="K68" s="145"/>
      <c r="L68" s="145"/>
      <c r="M68" s="145"/>
      <c r="N68" s="145"/>
      <c r="O68" s="145"/>
      <c r="P68" s="145"/>
      <c r="Q68" s="145">
        <v>2430</v>
      </c>
      <c r="R68" s="145"/>
      <c r="S68" s="147">
        <f t="shared" si="33"/>
        <v>2430</v>
      </c>
    </row>
    <row r="69" spans="1:19" ht="21" customHeight="1" x14ac:dyDescent="0.3">
      <c r="A69" s="151"/>
      <c r="B69" s="141" t="s">
        <v>217</v>
      </c>
      <c r="C69" s="162" t="s">
        <v>208</v>
      </c>
      <c r="D69" s="168">
        <v>3</v>
      </c>
      <c r="E69" s="169">
        <v>810</v>
      </c>
      <c r="F69" s="172">
        <f>D69*E69</f>
        <v>2430</v>
      </c>
      <c r="G69" s="146"/>
      <c r="H69" s="146"/>
      <c r="I69" s="438"/>
      <c r="J69" s="145"/>
      <c r="K69" s="146"/>
      <c r="L69" s="146"/>
      <c r="M69" s="146"/>
      <c r="N69" s="146"/>
      <c r="O69" s="146"/>
      <c r="P69" s="146"/>
      <c r="Q69" s="145">
        <v>2430</v>
      </c>
      <c r="R69" s="146"/>
      <c r="S69" s="147">
        <f t="shared" si="33"/>
        <v>2430</v>
      </c>
    </row>
    <row r="70" spans="1:19" ht="21" customHeight="1" x14ac:dyDescent="0.3">
      <c r="A70" s="151"/>
      <c r="B70" s="141" t="s">
        <v>218</v>
      </c>
      <c r="C70" s="162" t="s">
        <v>208</v>
      </c>
      <c r="D70" s="168">
        <v>3</v>
      </c>
      <c r="E70" s="181">
        <v>1120</v>
      </c>
      <c r="F70" s="172">
        <f>D70*E70</f>
        <v>3360</v>
      </c>
      <c r="G70" s="145"/>
      <c r="H70" s="145"/>
      <c r="I70" s="438"/>
      <c r="J70" s="145"/>
      <c r="K70" s="145"/>
      <c r="L70" s="145"/>
      <c r="M70" s="145"/>
      <c r="N70" s="145"/>
      <c r="O70" s="145"/>
      <c r="P70" s="145"/>
      <c r="Q70" s="145">
        <v>3360</v>
      </c>
      <c r="R70" s="145"/>
      <c r="S70" s="147">
        <f t="shared" si="33"/>
        <v>3360</v>
      </c>
    </row>
    <row r="71" spans="1:19" s="133" customFormat="1" ht="18.75" x14ac:dyDescent="0.3">
      <c r="A71" s="160" t="s">
        <v>219</v>
      </c>
      <c r="B71" s="166" t="s">
        <v>269</v>
      </c>
      <c r="C71" s="160"/>
      <c r="D71" s="180"/>
      <c r="E71" s="164"/>
      <c r="F71" s="182">
        <f>F72+F73+F74</f>
        <v>10518</v>
      </c>
      <c r="G71" s="182">
        <f>G72+G73+G74</f>
        <v>839</v>
      </c>
      <c r="H71" s="182">
        <f t="shared" ref="H71:R71" si="34">H72+H73+H74</f>
        <v>839</v>
      </c>
      <c r="I71" s="182">
        <f t="shared" si="34"/>
        <v>989</v>
      </c>
      <c r="J71" s="182">
        <f t="shared" si="34"/>
        <v>839</v>
      </c>
      <c r="K71" s="182">
        <f t="shared" si="34"/>
        <v>839</v>
      </c>
      <c r="L71" s="182">
        <f t="shared" si="34"/>
        <v>839</v>
      </c>
      <c r="M71" s="182">
        <f t="shared" si="34"/>
        <v>989</v>
      </c>
      <c r="N71" s="182">
        <f t="shared" si="34"/>
        <v>839</v>
      </c>
      <c r="O71" s="182">
        <f t="shared" si="34"/>
        <v>839</v>
      </c>
      <c r="P71" s="182">
        <f t="shared" si="34"/>
        <v>839</v>
      </c>
      <c r="Q71" s="182">
        <f t="shared" si="34"/>
        <v>989</v>
      </c>
      <c r="R71" s="182">
        <f t="shared" si="34"/>
        <v>839</v>
      </c>
      <c r="S71" s="161">
        <f t="shared" si="33"/>
        <v>10518</v>
      </c>
    </row>
    <row r="72" spans="1:19" ht="49.5" customHeight="1" x14ac:dyDescent="0.25">
      <c r="A72" s="151"/>
      <c r="B72" s="141" t="s">
        <v>270</v>
      </c>
      <c r="C72" s="178" t="s">
        <v>221</v>
      </c>
      <c r="D72" s="171">
        <v>12</v>
      </c>
      <c r="E72" s="145">
        <v>809</v>
      </c>
      <c r="F72" s="172">
        <f>D72*E72</f>
        <v>9708</v>
      </c>
      <c r="G72" s="146">
        <v>809</v>
      </c>
      <c r="H72" s="146">
        <f>G72</f>
        <v>809</v>
      </c>
      <c r="I72" s="146">
        <f>G72</f>
        <v>809</v>
      </c>
      <c r="J72" s="146">
        <f>G72</f>
        <v>809</v>
      </c>
      <c r="K72" s="146">
        <f>G72</f>
        <v>809</v>
      </c>
      <c r="L72" s="146">
        <f>G72</f>
        <v>809</v>
      </c>
      <c r="M72" s="146">
        <f>G72</f>
        <v>809</v>
      </c>
      <c r="N72" s="146">
        <f>G72</f>
        <v>809</v>
      </c>
      <c r="O72" s="146">
        <f>G72</f>
        <v>809</v>
      </c>
      <c r="P72" s="146">
        <f>G72</f>
        <v>809</v>
      </c>
      <c r="Q72" s="146">
        <f>G72</f>
        <v>809</v>
      </c>
      <c r="R72" s="146">
        <f>G72</f>
        <v>809</v>
      </c>
      <c r="S72" s="147">
        <f t="shared" si="33"/>
        <v>9708</v>
      </c>
    </row>
    <row r="73" spans="1:19" ht="22.5" customHeight="1" x14ac:dyDescent="0.25">
      <c r="A73" s="151"/>
      <c r="B73" s="141" t="s">
        <v>271</v>
      </c>
      <c r="C73" s="178" t="s">
        <v>221</v>
      </c>
      <c r="D73" s="171">
        <v>12</v>
      </c>
      <c r="E73" s="145">
        <v>30</v>
      </c>
      <c r="F73" s="172">
        <f>D73*E73</f>
        <v>360</v>
      </c>
      <c r="G73" s="146">
        <v>30</v>
      </c>
      <c r="H73" s="146">
        <v>30</v>
      </c>
      <c r="I73" s="146">
        <v>30</v>
      </c>
      <c r="J73" s="146">
        <v>30</v>
      </c>
      <c r="K73" s="146">
        <v>30</v>
      </c>
      <c r="L73" s="146">
        <v>30</v>
      </c>
      <c r="M73" s="146">
        <v>30</v>
      </c>
      <c r="N73" s="146">
        <v>30</v>
      </c>
      <c r="O73" s="146">
        <v>30</v>
      </c>
      <c r="P73" s="146">
        <v>30</v>
      </c>
      <c r="Q73" s="146">
        <v>30</v>
      </c>
      <c r="R73" s="146">
        <v>30</v>
      </c>
      <c r="S73" s="147">
        <f t="shared" si="33"/>
        <v>360</v>
      </c>
    </row>
    <row r="74" spans="1:19" ht="18.75" x14ac:dyDescent="0.25">
      <c r="A74" s="151"/>
      <c r="B74" s="141" t="s">
        <v>222</v>
      </c>
      <c r="C74" s="178" t="s">
        <v>208</v>
      </c>
      <c r="D74" s="171">
        <v>3</v>
      </c>
      <c r="E74" s="145">
        <v>150</v>
      </c>
      <c r="F74" s="172">
        <f>D74*E74</f>
        <v>450</v>
      </c>
      <c r="G74" s="146"/>
      <c r="H74" s="146"/>
      <c r="I74" s="146">
        <v>150</v>
      </c>
      <c r="J74" s="146"/>
      <c r="K74" s="146"/>
      <c r="L74" s="146"/>
      <c r="M74" s="146">
        <v>150</v>
      </c>
      <c r="N74" s="146"/>
      <c r="O74" s="146"/>
      <c r="P74" s="146"/>
      <c r="Q74" s="146">
        <v>150</v>
      </c>
      <c r="R74" s="146"/>
      <c r="S74" s="147">
        <f t="shared" si="33"/>
        <v>450</v>
      </c>
    </row>
    <row r="75" spans="1:19" s="133" customFormat="1" ht="31.5" x14ac:dyDescent="0.25">
      <c r="A75" s="509" t="s">
        <v>417</v>
      </c>
      <c r="B75" s="166" t="s">
        <v>418</v>
      </c>
      <c r="C75" s="132" t="s">
        <v>208</v>
      </c>
      <c r="D75" s="510"/>
      <c r="E75" s="511"/>
      <c r="F75" s="182">
        <f>F76+F77+F78</f>
        <v>1368360</v>
      </c>
      <c r="G75" s="182"/>
      <c r="H75" s="182"/>
      <c r="I75" s="182"/>
      <c r="J75" s="182"/>
      <c r="K75" s="182"/>
      <c r="L75" s="182"/>
      <c r="M75" s="182"/>
      <c r="N75" s="182">
        <f t="shared" ref="N75:R75" si="35">SUM(N76:N78)</f>
        <v>114030</v>
      </c>
      <c r="O75" s="182">
        <f t="shared" si="35"/>
        <v>114030</v>
      </c>
      <c r="P75" s="182">
        <f t="shared" si="35"/>
        <v>114030</v>
      </c>
      <c r="Q75" s="182">
        <f t="shared" si="35"/>
        <v>114030</v>
      </c>
      <c r="R75" s="182">
        <f t="shared" si="35"/>
        <v>114030</v>
      </c>
      <c r="S75" s="161">
        <f t="shared" si="33"/>
        <v>570150</v>
      </c>
    </row>
    <row r="76" spans="1:19" s="516" customFormat="1" ht="31.5" x14ac:dyDescent="0.25">
      <c r="A76" s="513"/>
      <c r="B76" s="518" t="s">
        <v>419</v>
      </c>
      <c r="C76" s="178" t="s">
        <v>208</v>
      </c>
      <c r="D76" s="514">
        <v>12</v>
      </c>
      <c r="E76" s="515">
        <v>7330</v>
      </c>
      <c r="F76" s="517">
        <f>D76*E76</f>
        <v>87960</v>
      </c>
      <c r="G76" s="517">
        <v>7330</v>
      </c>
      <c r="H76" s="517">
        <f>G76</f>
        <v>7330</v>
      </c>
      <c r="I76" s="517">
        <f>G76</f>
        <v>7330</v>
      </c>
      <c r="J76" s="517">
        <f>G76</f>
        <v>7330</v>
      </c>
      <c r="K76" s="517">
        <f>G76</f>
        <v>7330</v>
      </c>
      <c r="L76" s="517">
        <f>G76</f>
        <v>7330</v>
      </c>
      <c r="M76" s="517">
        <f>G76</f>
        <v>7330</v>
      </c>
      <c r="N76" s="517">
        <f>G76</f>
        <v>7330</v>
      </c>
      <c r="O76" s="517">
        <f>G76</f>
        <v>7330</v>
      </c>
      <c r="P76" s="517">
        <f>G76</f>
        <v>7330</v>
      </c>
      <c r="Q76" s="517">
        <f>G76</f>
        <v>7330</v>
      </c>
      <c r="R76" s="517">
        <f>G76</f>
        <v>7330</v>
      </c>
      <c r="S76" s="147">
        <f t="shared" si="33"/>
        <v>87960</v>
      </c>
    </row>
    <row r="77" spans="1:19" s="516" customFormat="1" ht="31.5" x14ac:dyDescent="0.25">
      <c r="A77" s="513"/>
      <c r="B77" s="518" t="s">
        <v>420</v>
      </c>
      <c r="C77" s="178" t="s">
        <v>208</v>
      </c>
      <c r="D77" s="514">
        <v>12</v>
      </c>
      <c r="E77" s="515">
        <v>69200</v>
      </c>
      <c r="F77" s="517">
        <f>D77*E77</f>
        <v>830400</v>
      </c>
      <c r="G77" s="517">
        <v>69200</v>
      </c>
      <c r="H77" s="517">
        <f t="shared" ref="H77:H78" si="36">G77</f>
        <v>69200</v>
      </c>
      <c r="I77" s="517">
        <f t="shared" ref="I77:I78" si="37">G77</f>
        <v>69200</v>
      </c>
      <c r="J77" s="517">
        <f t="shared" ref="J77:J78" si="38">G77</f>
        <v>69200</v>
      </c>
      <c r="K77" s="517">
        <f t="shared" ref="K77:K78" si="39">G77</f>
        <v>69200</v>
      </c>
      <c r="L77" s="517">
        <f t="shared" ref="L77:L78" si="40">G77</f>
        <v>69200</v>
      </c>
      <c r="M77" s="517">
        <f t="shared" ref="M77:M78" si="41">G77</f>
        <v>69200</v>
      </c>
      <c r="N77" s="517">
        <f t="shared" ref="N77:N78" si="42">G77</f>
        <v>69200</v>
      </c>
      <c r="O77" s="517">
        <f t="shared" ref="O77:O78" si="43">G77</f>
        <v>69200</v>
      </c>
      <c r="P77" s="517">
        <f t="shared" ref="P77:P78" si="44">G77</f>
        <v>69200</v>
      </c>
      <c r="Q77" s="517">
        <f t="shared" ref="Q77:Q78" si="45">G77</f>
        <v>69200</v>
      </c>
      <c r="R77" s="517">
        <f t="shared" ref="R77:R78" si="46">G77</f>
        <v>69200</v>
      </c>
      <c r="S77" s="147">
        <f t="shared" si="33"/>
        <v>830400</v>
      </c>
    </row>
    <row r="78" spans="1:19" s="516" customFormat="1" ht="31.5" x14ac:dyDescent="0.25">
      <c r="A78" s="513"/>
      <c r="B78" s="518" t="s">
        <v>421</v>
      </c>
      <c r="C78" s="178" t="s">
        <v>208</v>
      </c>
      <c r="D78" s="514">
        <v>12</v>
      </c>
      <c r="E78" s="515">
        <v>37500</v>
      </c>
      <c r="F78" s="517">
        <f>D78*E78</f>
        <v>450000</v>
      </c>
      <c r="G78" s="517">
        <v>37500</v>
      </c>
      <c r="H78" s="517">
        <f t="shared" si="36"/>
        <v>37500</v>
      </c>
      <c r="I78" s="517">
        <f t="shared" si="37"/>
        <v>37500</v>
      </c>
      <c r="J78" s="517">
        <f t="shared" si="38"/>
        <v>37500</v>
      </c>
      <c r="K78" s="517">
        <f t="shared" si="39"/>
        <v>37500</v>
      </c>
      <c r="L78" s="517">
        <f t="shared" si="40"/>
        <v>37500</v>
      </c>
      <c r="M78" s="517">
        <f t="shared" si="41"/>
        <v>37500</v>
      </c>
      <c r="N78" s="517">
        <f t="shared" si="42"/>
        <v>37500</v>
      </c>
      <c r="O78" s="517">
        <f t="shared" si="43"/>
        <v>37500</v>
      </c>
      <c r="P78" s="517">
        <f t="shared" si="44"/>
        <v>37500</v>
      </c>
      <c r="Q78" s="517">
        <f t="shared" si="45"/>
        <v>37500</v>
      </c>
      <c r="R78" s="517">
        <f t="shared" si="46"/>
        <v>37500</v>
      </c>
      <c r="S78" s="147">
        <f t="shared" si="33"/>
        <v>450000</v>
      </c>
    </row>
    <row r="79" spans="1:19" s="133" customFormat="1" ht="33" customHeight="1" x14ac:dyDescent="0.3">
      <c r="A79" s="132" t="s">
        <v>272</v>
      </c>
      <c r="B79" s="134" t="s">
        <v>223</v>
      </c>
      <c r="C79" s="164"/>
      <c r="D79" s="180"/>
      <c r="E79" s="136"/>
      <c r="F79" s="137">
        <f>F80</f>
        <v>14951.003620000001</v>
      </c>
      <c r="G79" s="137">
        <f>G80</f>
        <v>2464.85</v>
      </c>
      <c r="H79" s="137">
        <f>H80</f>
        <v>2464.85</v>
      </c>
      <c r="I79" s="137">
        <f t="shared" ref="I79:O79" si="47">I80</f>
        <v>2464.85</v>
      </c>
      <c r="J79" s="137">
        <f t="shared" si="47"/>
        <v>26.85</v>
      </c>
      <c r="K79" s="137">
        <f t="shared" si="47"/>
        <v>26.85</v>
      </c>
      <c r="L79" s="137">
        <f t="shared" si="47"/>
        <v>26.85</v>
      </c>
      <c r="M79" s="137">
        <f t="shared" si="47"/>
        <v>26.85</v>
      </c>
      <c r="N79" s="137">
        <f t="shared" si="47"/>
        <v>26.85</v>
      </c>
      <c r="O79" s="137">
        <f t="shared" si="47"/>
        <v>26.85</v>
      </c>
      <c r="P79" s="137">
        <f>P80</f>
        <v>2464.85</v>
      </c>
      <c r="Q79" s="137">
        <f>Q80</f>
        <v>2464.85</v>
      </c>
      <c r="R79" s="137">
        <f>R80</f>
        <v>2465.65</v>
      </c>
      <c r="S79" s="161">
        <f>S80</f>
        <v>14951.000000000002</v>
      </c>
    </row>
    <row r="80" spans="1:19" s="133" customFormat="1" ht="18.75" x14ac:dyDescent="0.3">
      <c r="A80" s="160" t="s">
        <v>224</v>
      </c>
      <c r="B80" s="175" t="s">
        <v>225</v>
      </c>
      <c r="C80" s="136"/>
      <c r="D80" s="180"/>
      <c r="E80" s="164"/>
      <c r="F80" s="177">
        <f t="shared" ref="F80:R80" si="48">F81+F82</f>
        <v>14951.003620000001</v>
      </c>
      <c r="G80" s="137">
        <f t="shared" si="48"/>
        <v>2464.85</v>
      </c>
      <c r="H80" s="137">
        <f t="shared" si="48"/>
        <v>2464.85</v>
      </c>
      <c r="I80" s="137">
        <f t="shared" si="48"/>
        <v>2464.85</v>
      </c>
      <c r="J80" s="137">
        <f t="shared" si="48"/>
        <v>26.85</v>
      </c>
      <c r="K80" s="137">
        <f t="shared" si="48"/>
        <v>26.85</v>
      </c>
      <c r="L80" s="137">
        <f t="shared" si="48"/>
        <v>26.85</v>
      </c>
      <c r="M80" s="137">
        <f t="shared" si="48"/>
        <v>26.85</v>
      </c>
      <c r="N80" s="137">
        <f t="shared" si="48"/>
        <v>26.85</v>
      </c>
      <c r="O80" s="137">
        <f t="shared" si="48"/>
        <v>26.85</v>
      </c>
      <c r="P80" s="137">
        <f t="shared" si="48"/>
        <v>2464.85</v>
      </c>
      <c r="Q80" s="137">
        <f t="shared" si="48"/>
        <v>2464.85</v>
      </c>
      <c r="R80" s="137">
        <f t="shared" si="48"/>
        <v>2465.65</v>
      </c>
      <c r="S80" s="161">
        <f>SUM(G80:R80)</f>
        <v>14951.000000000002</v>
      </c>
    </row>
    <row r="81" spans="1:19" ht="18.75" x14ac:dyDescent="0.25">
      <c r="A81" s="151"/>
      <c r="B81" s="183" t="s">
        <v>226</v>
      </c>
      <c r="C81" s="178" t="s">
        <v>227</v>
      </c>
      <c r="D81" s="440">
        <v>2.5030000000000001</v>
      </c>
      <c r="E81" s="146">
        <v>5844.54</v>
      </c>
      <c r="F81" s="146">
        <f>D81*E81+0.12</f>
        <v>14629.003620000001</v>
      </c>
      <c r="G81" s="146">
        <v>2438</v>
      </c>
      <c r="H81" s="146">
        <v>2438</v>
      </c>
      <c r="I81" s="146">
        <v>2438</v>
      </c>
      <c r="J81" s="146"/>
      <c r="K81" s="146"/>
      <c r="L81" s="146"/>
      <c r="M81" s="146"/>
      <c r="N81" s="146"/>
      <c r="O81" s="146"/>
      <c r="P81" s="146">
        <v>2438</v>
      </c>
      <c r="Q81" s="146">
        <v>2438</v>
      </c>
      <c r="R81" s="146">
        <v>2439</v>
      </c>
      <c r="S81" s="147">
        <f>SUM(G81:R81)</f>
        <v>14629</v>
      </c>
    </row>
    <row r="82" spans="1:19" ht="31.5" x14ac:dyDescent="0.25">
      <c r="A82" s="151"/>
      <c r="B82" s="184" t="s">
        <v>273</v>
      </c>
      <c r="C82" s="178" t="s">
        <v>221</v>
      </c>
      <c r="D82" s="171">
        <v>12</v>
      </c>
      <c r="E82" s="146">
        <v>26.84</v>
      </c>
      <c r="F82" s="146">
        <f>D82*E82-0.08</f>
        <v>322</v>
      </c>
      <c r="G82" s="146">
        <v>26.85</v>
      </c>
      <c r="H82" s="146">
        <f>G82</f>
        <v>26.85</v>
      </c>
      <c r="I82" s="146">
        <f>G82</f>
        <v>26.85</v>
      </c>
      <c r="J82" s="146">
        <f>G82</f>
        <v>26.85</v>
      </c>
      <c r="K82" s="146">
        <f>G82</f>
        <v>26.85</v>
      </c>
      <c r="L82" s="146">
        <f>G82</f>
        <v>26.85</v>
      </c>
      <c r="M82" s="146">
        <f>G82</f>
        <v>26.85</v>
      </c>
      <c r="N82" s="146">
        <f>G82</f>
        <v>26.85</v>
      </c>
      <c r="O82" s="146">
        <f>G82</f>
        <v>26.85</v>
      </c>
      <c r="P82" s="146">
        <f>G82</f>
        <v>26.85</v>
      </c>
      <c r="Q82" s="146">
        <f>G82</f>
        <v>26.85</v>
      </c>
      <c r="R82" s="146">
        <f>G82-0.2</f>
        <v>26.650000000000002</v>
      </c>
      <c r="S82" s="147">
        <f>SUM(G82:R82)</f>
        <v>322</v>
      </c>
    </row>
    <row r="83" spans="1:19" ht="18.75" x14ac:dyDescent="0.3">
      <c r="A83" s="140"/>
      <c r="B83" s="140" t="s">
        <v>274</v>
      </c>
      <c r="C83" s="185"/>
      <c r="D83" s="185"/>
      <c r="E83" s="186"/>
      <c r="F83" s="153">
        <f t="shared" ref="F83:R83" si="49">F21+F28+F30+F59+F79</f>
        <v>21074360.003619999</v>
      </c>
      <c r="G83" s="153">
        <f t="shared" si="49"/>
        <v>1640530</v>
      </c>
      <c r="H83" s="153">
        <f t="shared" si="49"/>
        <v>2089988</v>
      </c>
      <c r="I83" s="153">
        <f t="shared" si="49"/>
        <v>1640680</v>
      </c>
      <c r="J83" s="153">
        <f t="shared" si="49"/>
        <v>1638092</v>
      </c>
      <c r="K83" s="153">
        <f t="shared" si="49"/>
        <v>1638092</v>
      </c>
      <c r="L83" s="153">
        <f t="shared" si="49"/>
        <v>1639602</v>
      </c>
      <c r="M83" s="153">
        <f t="shared" si="49"/>
        <v>1638242</v>
      </c>
      <c r="N83" s="153">
        <f t="shared" si="49"/>
        <v>1752122</v>
      </c>
      <c r="O83" s="153">
        <f t="shared" si="49"/>
        <v>2247722</v>
      </c>
      <c r="P83" s="153">
        <f t="shared" si="49"/>
        <v>1757580</v>
      </c>
      <c r="Q83" s="153">
        <f t="shared" si="49"/>
        <v>1762930</v>
      </c>
      <c r="R83" s="153">
        <f t="shared" si="49"/>
        <v>1754570</v>
      </c>
      <c r="S83" s="187">
        <f>R83+Q83+P83+O83+N83+M83+L83+K83+J83+I83+H83+G83</f>
        <v>21200150</v>
      </c>
    </row>
    <row r="84" spans="1:19" ht="18.75" x14ac:dyDescent="0.3">
      <c r="A84" s="188"/>
      <c r="B84" s="189"/>
      <c r="C84" s="190"/>
      <c r="D84" s="190"/>
      <c r="E84" s="191"/>
      <c r="F84" s="192"/>
      <c r="G84" s="192"/>
      <c r="H84" s="192"/>
      <c r="I84" s="192"/>
      <c r="J84" s="192"/>
      <c r="K84" s="192"/>
      <c r="L84" s="192"/>
      <c r="M84" s="192"/>
      <c r="N84" s="192"/>
      <c r="O84" s="192"/>
      <c r="P84" s="192"/>
      <c r="Q84" s="192"/>
      <c r="R84" s="192"/>
      <c r="S84" s="193"/>
    </row>
    <row r="85" spans="1:19" ht="18.75" x14ac:dyDescent="0.3">
      <c r="A85" s="188"/>
      <c r="B85" s="189"/>
      <c r="C85" s="190"/>
      <c r="D85" s="190"/>
      <c r="E85" s="191"/>
      <c r="F85" s="192"/>
      <c r="G85" s="192"/>
      <c r="H85" s="192"/>
      <c r="I85" s="192"/>
      <c r="J85" s="192"/>
      <c r="K85" s="192"/>
      <c r="L85" s="192"/>
      <c r="M85" s="192"/>
      <c r="N85" s="192"/>
      <c r="O85" s="192"/>
      <c r="P85" s="192"/>
      <c r="Q85" s="192"/>
      <c r="R85" s="192"/>
      <c r="S85" s="193"/>
    </row>
    <row r="86" spans="1:19" ht="18.75" x14ac:dyDescent="0.3">
      <c r="A86" s="194"/>
      <c r="B86" s="225" t="s">
        <v>275</v>
      </c>
      <c r="C86" s="225"/>
      <c r="D86" s="225"/>
      <c r="E86" s="225"/>
      <c r="F86" s="225"/>
      <c r="G86" s="225"/>
      <c r="H86" s="225" t="s">
        <v>276</v>
      </c>
      <c r="I86" s="225"/>
      <c r="J86" s="441"/>
      <c r="K86" s="123"/>
      <c r="L86" s="195"/>
      <c r="M86" s="195"/>
      <c r="N86" s="195"/>
      <c r="O86" s="195"/>
      <c r="P86" s="195"/>
      <c r="Q86" s="195"/>
      <c r="R86" s="195"/>
      <c r="S86" s="196"/>
    </row>
    <row r="87" spans="1:19" ht="18.75" x14ac:dyDescent="0.3">
      <c r="A87" s="194"/>
      <c r="B87" s="441"/>
      <c r="C87" s="441"/>
      <c r="D87" s="441"/>
      <c r="E87" s="441"/>
      <c r="F87" s="442" t="s">
        <v>277</v>
      </c>
      <c r="G87" s="441"/>
      <c r="H87" s="441"/>
      <c r="I87" s="441"/>
      <c r="J87" s="441"/>
      <c r="K87" s="123"/>
      <c r="L87" s="195"/>
      <c r="M87" s="195"/>
      <c r="N87" s="195"/>
      <c r="O87" s="195"/>
      <c r="P87" s="195"/>
      <c r="Q87" s="195"/>
      <c r="R87" s="195"/>
      <c r="S87" s="196"/>
    </row>
    <row r="88" spans="1:19" ht="18.75" x14ac:dyDescent="0.3">
      <c r="A88" s="194"/>
      <c r="B88" s="441"/>
      <c r="C88" s="441"/>
      <c r="D88" s="441"/>
      <c r="E88" s="441"/>
      <c r="F88" s="441"/>
      <c r="G88" s="441"/>
      <c r="H88" s="441"/>
      <c r="I88" s="441"/>
      <c r="J88" s="441"/>
      <c r="K88" s="123"/>
      <c r="L88" s="195"/>
      <c r="M88" s="195"/>
      <c r="N88" s="195"/>
      <c r="O88" s="195"/>
      <c r="P88" s="195"/>
      <c r="Q88" s="195"/>
      <c r="R88" s="195"/>
      <c r="S88" s="196"/>
    </row>
    <row r="89" spans="1:19" ht="18.75" x14ac:dyDescent="0.3">
      <c r="A89" s="194"/>
      <c r="B89" s="225" t="s">
        <v>231</v>
      </c>
      <c r="C89" s="225"/>
      <c r="D89" s="225"/>
      <c r="E89" s="225"/>
      <c r="F89" s="225"/>
      <c r="G89" s="225"/>
      <c r="H89" s="225" t="s">
        <v>384</v>
      </c>
      <c r="I89" s="225"/>
      <c r="J89" s="441"/>
      <c r="K89" s="123"/>
      <c r="L89" s="195"/>
      <c r="M89" s="195"/>
      <c r="N89" s="195"/>
      <c r="O89" s="195"/>
      <c r="P89" s="195"/>
      <c r="Q89" s="195"/>
      <c r="R89" s="195"/>
      <c r="S89" s="196"/>
    </row>
    <row r="90" spans="1:19" ht="19.5" customHeight="1" x14ac:dyDescent="0.25">
      <c r="A90" s="197"/>
      <c r="B90" s="226"/>
      <c r="C90" s="226"/>
      <c r="D90" s="226"/>
      <c r="E90" s="226"/>
      <c r="F90" s="442" t="s">
        <v>277</v>
      </c>
      <c r="G90" s="226"/>
      <c r="H90" s="226"/>
      <c r="I90" s="226"/>
      <c r="J90" s="226"/>
      <c r="K90" s="198"/>
      <c r="L90" s="199"/>
      <c r="M90" s="199"/>
      <c r="N90" s="199"/>
      <c r="O90" s="199"/>
      <c r="P90" s="199"/>
      <c r="Q90" s="199"/>
      <c r="R90" s="199"/>
      <c r="S90" s="200"/>
    </row>
    <row r="91" spans="1:19" ht="21" customHeight="1" x14ac:dyDescent="0.25">
      <c r="A91" s="197"/>
      <c r="B91" s="226"/>
      <c r="C91" s="226"/>
      <c r="D91" s="226"/>
      <c r="E91" s="226"/>
      <c r="F91" s="198"/>
      <c r="G91" s="226"/>
      <c r="H91" s="226"/>
      <c r="I91" s="226"/>
      <c r="J91" s="226"/>
      <c r="K91" s="198"/>
      <c r="L91" s="199"/>
      <c r="M91" s="199"/>
      <c r="N91" s="199"/>
      <c r="O91" s="199"/>
      <c r="P91" s="199"/>
      <c r="Q91" s="199"/>
      <c r="R91" s="199"/>
      <c r="S91" s="200"/>
    </row>
    <row r="92" spans="1:19" ht="18.75" x14ac:dyDescent="0.3">
      <c r="A92" s="194"/>
      <c r="B92" s="225" t="s">
        <v>232</v>
      </c>
      <c r="C92" s="225"/>
      <c r="D92" s="225"/>
      <c r="E92" s="225"/>
      <c r="F92" s="225"/>
      <c r="G92" s="225"/>
      <c r="H92" s="225" t="s">
        <v>279</v>
      </c>
      <c r="I92" s="225"/>
      <c r="J92" s="441"/>
      <c r="K92" s="123"/>
      <c r="L92" s="195"/>
      <c r="M92" s="195"/>
      <c r="N92" s="195"/>
      <c r="O92" s="195"/>
      <c r="P92" s="195"/>
      <c r="Q92" s="195"/>
      <c r="R92" s="195"/>
      <c r="S92" s="196"/>
    </row>
    <row r="93" spans="1:19" ht="18.75" x14ac:dyDescent="0.3">
      <c r="A93" s="194"/>
      <c r="B93" s="222"/>
      <c r="C93" s="222"/>
      <c r="D93" s="222"/>
      <c r="E93" s="123"/>
      <c r="F93" s="201" t="s">
        <v>278</v>
      </c>
      <c r="G93" s="201"/>
      <c r="H93" s="201"/>
      <c r="I93" s="201"/>
      <c r="J93" s="123"/>
      <c r="K93" s="123"/>
      <c r="L93" s="202"/>
      <c r="M93" s="202"/>
      <c r="N93" s="202"/>
      <c r="O93" s="202"/>
      <c r="P93" s="202"/>
      <c r="Q93" s="202"/>
      <c r="R93" s="202"/>
      <c r="S93" s="196"/>
    </row>
    <row r="94" spans="1:19" ht="18.75" x14ac:dyDescent="0.3">
      <c r="A94" s="203"/>
      <c r="B94" s="204"/>
      <c r="C94" s="205"/>
      <c r="D94" s="205"/>
      <c r="E94" s="206"/>
      <c r="F94" s="207"/>
      <c r="G94" s="208"/>
      <c r="H94" s="209"/>
      <c r="I94" s="209"/>
      <c r="J94" s="209"/>
      <c r="K94" s="209"/>
      <c r="L94" s="209"/>
      <c r="M94" s="209"/>
      <c r="N94" s="209"/>
      <c r="O94" s="209"/>
      <c r="P94" s="209"/>
      <c r="Q94" s="209"/>
      <c r="R94" s="209"/>
      <c r="S94" s="209"/>
    </row>
    <row r="95" spans="1:19" ht="18.75" x14ac:dyDescent="0.3">
      <c r="A95" s="203"/>
      <c r="B95" s="204"/>
      <c r="C95" s="205"/>
      <c r="D95" s="205"/>
      <c r="E95" s="206"/>
      <c r="F95" s="208"/>
      <c r="G95" s="210"/>
      <c r="H95" s="195"/>
      <c r="I95" s="211"/>
      <c r="J95" s="195"/>
      <c r="K95" s="195"/>
      <c r="L95" s="195"/>
      <c r="M95" s="195"/>
      <c r="N95" s="195"/>
      <c r="O95" s="195"/>
      <c r="P95" s="195"/>
      <c r="Q95" s="195"/>
      <c r="R95" s="195"/>
      <c r="S95" s="212"/>
    </row>
    <row r="96" spans="1:19" ht="18.75" x14ac:dyDescent="0.3">
      <c r="A96" s="203"/>
      <c r="B96" s="204"/>
      <c r="C96" s="205"/>
      <c r="D96" s="205"/>
      <c r="E96" s="206"/>
      <c r="F96" s="208"/>
      <c r="G96" s="210"/>
      <c r="H96" s="195"/>
      <c r="I96" s="195"/>
      <c r="J96" s="195"/>
      <c r="K96" s="195"/>
      <c r="L96" s="195"/>
      <c r="M96" s="195"/>
      <c r="N96" s="195"/>
      <c r="O96" s="195"/>
      <c r="P96" s="195"/>
      <c r="Q96" s="195"/>
      <c r="R96" s="195"/>
      <c r="S96" s="212"/>
    </row>
    <row r="97" spans="1:19" ht="18.75" x14ac:dyDescent="0.3">
      <c r="A97" s="203"/>
      <c r="B97" s="213"/>
      <c r="C97" s="214"/>
      <c r="D97" s="215"/>
      <c r="E97" s="206"/>
      <c r="F97" s="208"/>
      <c r="G97" s="216"/>
      <c r="H97" s="217"/>
      <c r="I97" s="217"/>
      <c r="J97" s="218"/>
      <c r="K97" s="195"/>
      <c r="L97" s="195"/>
      <c r="M97" s="195"/>
      <c r="N97" s="195"/>
      <c r="O97" s="195"/>
      <c r="P97" s="219"/>
      <c r="Q97" s="217"/>
      <c r="R97" s="217"/>
      <c r="S97" s="212"/>
    </row>
    <row r="98" spans="1:19" x14ac:dyDescent="0.25">
      <c r="A98" s="121"/>
      <c r="B98" s="121"/>
      <c r="C98" s="121"/>
      <c r="D98" s="121"/>
      <c r="E98" s="122"/>
      <c r="F98" s="122"/>
      <c r="G98" s="122"/>
      <c r="H98" s="123"/>
      <c r="I98" s="123"/>
      <c r="J98" s="123"/>
      <c r="K98" s="123"/>
      <c r="L98" s="123"/>
      <c r="M98" s="123"/>
      <c r="N98" s="123"/>
      <c r="O98" s="123"/>
      <c r="P98" s="123"/>
      <c r="Q98" s="123"/>
      <c r="R98" s="123"/>
      <c r="S98" s="123"/>
    </row>
    <row r="99" spans="1:19" x14ac:dyDescent="0.25">
      <c r="A99" s="121"/>
      <c r="B99" s="121"/>
      <c r="C99" s="121"/>
      <c r="D99" s="121"/>
      <c r="E99" s="122"/>
      <c r="F99" s="122"/>
      <c r="G99" s="122"/>
      <c r="H99" s="123"/>
      <c r="I99" s="123"/>
      <c r="J99" s="123"/>
      <c r="K99" s="123"/>
      <c r="L99" s="123"/>
      <c r="M99" s="123"/>
      <c r="N99" s="123"/>
      <c r="O99" s="123"/>
      <c r="P99" s="123"/>
      <c r="Q99" s="123"/>
      <c r="R99" s="123"/>
      <c r="S99" s="123"/>
    </row>
    <row r="100" spans="1:19" x14ac:dyDescent="0.25">
      <c r="A100" s="121"/>
      <c r="B100" s="121"/>
      <c r="C100" s="121"/>
      <c r="D100" s="121"/>
      <c r="E100" s="122"/>
      <c r="F100" s="122"/>
      <c r="G100" s="122"/>
      <c r="H100" s="123"/>
      <c r="I100" s="123"/>
      <c r="J100" s="123"/>
      <c r="K100" s="123"/>
      <c r="L100" s="123"/>
      <c r="M100" s="123"/>
      <c r="N100" s="123"/>
      <c r="O100" s="123"/>
      <c r="P100" s="123"/>
      <c r="Q100" s="123"/>
      <c r="R100" s="123"/>
      <c r="S100" s="123"/>
    </row>
    <row r="101" spans="1:19" x14ac:dyDescent="0.25">
      <c r="A101" s="121"/>
      <c r="B101" s="121"/>
      <c r="C101" s="121"/>
      <c r="D101" s="121"/>
      <c r="E101" s="122"/>
      <c r="F101" s="122"/>
      <c r="G101" s="122"/>
      <c r="H101" s="123"/>
      <c r="I101" s="123"/>
      <c r="J101" s="123"/>
      <c r="K101" s="123"/>
      <c r="L101" s="123"/>
      <c r="M101" s="123"/>
      <c r="N101" s="123"/>
      <c r="O101" s="123"/>
      <c r="P101" s="123"/>
      <c r="Q101" s="123"/>
      <c r="R101" s="123"/>
      <c r="S101" s="123"/>
    </row>
    <row r="102" spans="1:19" x14ac:dyDescent="0.25">
      <c r="A102" s="121"/>
      <c r="B102" s="121"/>
      <c r="C102" s="121"/>
      <c r="D102" s="121"/>
      <c r="E102" s="122"/>
      <c r="F102" s="122"/>
      <c r="G102" s="122"/>
      <c r="H102" s="123"/>
      <c r="I102" s="123"/>
      <c r="J102" s="123"/>
      <c r="K102" s="123"/>
      <c r="L102" s="123"/>
      <c r="M102" s="123"/>
      <c r="N102" s="123"/>
      <c r="O102" s="123"/>
      <c r="P102" s="123"/>
      <c r="Q102" s="123"/>
      <c r="R102" s="123"/>
      <c r="S102" s="123"/>
    </row>
    <row r="103" spans="1:19" x14ac:dyDescent="0.25">
      <c r="A103" s="121"/>
      <c r="B103" s="121"/>
      <c r="C103" s="121"/>
      <c r="D103" s="121"/>
      <c r="E103" s="122"/>
      <c r="F103" s="122"/>
      <c r="G103" s="122"/>
      <c r="H103" s="123"/>
      <c r="I103" s="123"/>
      <c r="J103" s="123"/>
      <c r="K103" s="123"/>
      <c r="L103" s="123"/>
      <c r="M103" s="123"/>
      <c r="N103" s="123"/>
      <c r="O103" s="123"/>
      <c r="P103" s="123"/>
      <c r="Q103" s="123"/>
      <c r="R103" s="123"/>
      <c r="S103" s="123"/>
    </row>
    <row r="104" spans="1:19" x14ac:dyDescent="0.25">
      <c r="A104" s="121"/>
      <c r="B104" s="121"/>
      <c r="C104" s="121"/>
      <c r="D104" s="121"/>
      <c r="E104" s="122"/>
      <c r="F104" s="122"/>
      <c r="G104" s="122"/>
      <c r="H104" s="123"/>
      <c r="I104" s="123"/>
      <c r="J104" s="123"/>
      <c r="K104" s="123"/>
      <c r="L104" s="123"/>
      <c r="M104" s="123"/>
      <c r="N104" s="123"/>
      <c r="O104" s="123"/>
      <c r="P104" s="123"/>
      <c r="Q104" s="123"/>
      <c r="R104" s="123"/>
      <c r="S104" s="123"/>
    </row>
    <row r="105" spans="1:19" x14ac:dyDescent="0.25">
      <c r="A105" s="121"/>
      <c r="B105" s="121"/>
      <c r="C105" s="121"/>
      <c r="D105" s="121"/>
      <c r="E105" s="122"/>
      <c r="F105" s="122"/>
      <c r="G105" s="122"/>
      <c r="H105" s="123"/>
      <c r="I105" s="123"/>
      <c r="J105" s="123"/>
      <c r="K105" s="123"/>
      <c r="L105" s="123"/>
      <c r="M105" s="123"/>
      <c r="N105" s="123"/>
      <c r="O105" s="123"/>
      <c r="P105" s="123"/>
      <c r="Q105" s="123"/>
      <c r="R105" s="123"/>
      <c r="S105" s="123"/>
    </row>
    <row r="106" spans="1:19" x14ac:dyDescent="0.25">
      <c r="A106" s="121"/>
      <c r="B106" s="121"/>
      <c r="C106" s="121"/>
      <c r="D106" s="121"/>
      <c r="E106" s="122"/>
      <c r="F106" s="122"/>
      <c r="G106" s="122"/>
      <c r="H106" s="123"/>
      <c r="I106" s="123"/>
      <c r="J106" s="123"/>
      <c r="K106" s="123"/>
      <c r="L106" s="123"/>
      <c r="M106" s="123"/>
      <c r="N106" s="123"/>
      <c r="O106" s="123"/>
      <c r="P106" s="123"/>
      <c r="Q106" s="123"/>
      <c r="R106" s="123"/>
      <c r="S106" s="123"/>
    </row>
  </sheetData>
  <mergeCells count="25">
    <mergeCell ref="F19:F20"/>
    <mergeCell ref="G19:G20"/>
    <mergeCell ref="H19:H20"/>
    <mergeCell ref="I19:I20"/>
    <mergeCell ref="S19:S20"/>
    <mergeCell ref="J19:J20"/>
    <mergeCell ref="K19:K20"/>
    <mergeCell ref="L19:L20"/>
    <mergeCell ref="M19:M20"/>
    <mergeCell ref="O1:R1"/>
    <mergeCell ref="P3:R3"/>
    <mergeCell ref="O8:P8"/>
    <mergeCell ref="O9:P9"/>
    <mergeCell ref="N19:N20"/>
    <mergeCell ref="A16:R16"/>
    <mergeCell ref="A17:R17"/>
    <mergeCell ref="O19:O20"/>
    <mergeCell ref="P19:P20"/>
    <mergeCell ref="Q19:Q20"/>
    <mergeCell ref="R19:R20"/>
    <mergeCell ref="A19:A20"/>
    <mergeCell ref="B19:B20"/>
    <mergeCell ref="C19:C20"/>
    <mergeCell ref="D19:D20"/>
    <mergeCell ref="E19:E20"/>
  </mergeCells>
  <pageMargins left="1.1811023622047245" right="0.39370078740157483" top="0.78740157480314965" bottom="0.78740157480314965" header="0.31496062992125984" footer="0.31496062992125984"/>
  <pageSetup paperSize="9" scale="44" fitToWidth="0" fitToHeight="0" orientation="landscape" r:id="rId1"/>
  <rowBreaks count="1" manualBreakCount="1">
    <brk id="58" max="18" man="1"/>
  </rowBreaks>
  <colBreaks count="1" manualBreakCount="1">
    <brk id="18" max="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5"/>
  </sheetPr>
  <dimension ref="A1:BE95"/>
  <sheetViews>
    <sheetView view="pageBreakPreview" topLeftCell="A13" zoomScale="75" zoomScaleSheetLayoutView="100" workbookViewId="0">
      <selection activeCell="E35" sqref="E35"/>
    </sheetView>
  </sheetViews>
  <sheetFormatPr defaultRowHeight="15" x14ac:dyDescent="0.25"/>
  <cols>
    <col min="1" max="1" width="5.5703125" style="227" customWidth="1"/>
    <col min="2" max="2" width="7.7109375" style="228" customWidth="1"/>
    <col min="3" max="3" width="60.42578125" style="227" customWidth="1"/>
    <col min="4" max="4" width="11.28515625" style="227" customWidth="1"/>
    <col min="5" max="5" width="12.42578125" style="227" customWidth="1"/>
    <col min="6" max="6" width="19" style="227" customWidth="1"/>
    <col min="7" max="7" width="19.28515625" style="227" customWidth="1"/>
    <col min="8" max="8" width="10.5703125" style="227" bestFit="1" customWidth="1"/>
    <col min="9" max="9" width="9.5703125" style="227" bestFit="1" customWidth="1"/>
    <col min="10" max="16384" width="9.140625" style="227"/>
  </cols>
  <sheetData>
    <row r="1" spans="1:12" ht="15.75" hidden="1" x14ac:dyDescent="0.25">
      <c r="D1" s="229" t="s">
        <v>158</v>
      </c>
    </row>
    <row r="2" spans="1:12" hidden="1" x14ac:dyDescent="0.25">
      <c r="D2" s="230" t="s">
        <v>159</v>
      </c>
      <c r="E2" s="231" t="s">
        <v>160</v>
      </c>
      <c r="F2" s="232"/>
      <c r="G2" s="232"/>
    </row>
    <row r="3" spans="1:12" hidden="1" x14ac:dyDescent="0.25">
      <c r="D3" s="231" t="s">
        <v>161</v>
      </c>
      <c r="E3" s="232"/>
      <c r="F3" s="232"/>
      <c r="G3" s="233">
        <f>G85</f>
        <v>21998360.00300625</v>
      </c>
    </row>
    <row r="4" spans="1:12" hidden="1" x14ac:dyDescent="0.25">
      <c r="F4" s="234" t="s">
        <v>162</v>
      </c>
    </row>
    <row r="5" spans="1:12" hidden="1" x14ac:dyDescent="0.25">
      <c r="D5" s="585" t="s">
        <v>163</v>
      </c>
      <c r="E5" s="585"/>
      <c r="F5" s="585"/>
      <c r="G5" s="235"/>
    </row>
    <row r="6" spans="1:12" hidden="1" x14ac:dyDescent="0.25">
      <c r="D6" s="586" t="s">
        <v>164</v>
      </c>
      <c r="E6" s="586"/>
      <c r="F6" s="586"/>
    </row>
    <row r="7" spans="1:12" hidden="1" x14ac:dyDescent="0.25">
      <c r="D7" s="235"/>
      <c r="E7" s="236"/>
      <c r="F7" s="585" t="s">
        <v>165</v>
      </c>
      <c r="G7" s="585"/>
    </row>
    <row r="8" spans="1:12" hidden="1" x14ac:dyDescent="0.25">
      <c r="D8" s="586" t="s">
        <v>166</v>
      </c>
      <c r="E8" s="586"/>
      <c r="F8" s="586" t="s">
        <v>167</v>
      </c>
      <c r="G8" s="586"/>
    </row>
    <row r="9" spans="1:12" ht="15.75" hidden="1" x14ac:dyDescent="0.25">
      <c r="D9" s="237" t="s">
        <v>168</v>
      </c>
      <c r="E9" s="238"/>
      <c r="F9" s="236"/>
    </row>
    <row r="10" spans="1:12" hidden="1" x14ac:dyDescent="0.25">
      <c r="D10" s="234" t="s">
        <v>169</v>
      </c>
      <c r="G10" s="227" t="s">
        <v>170</v>
      </c>
    </row>
    <row r="11" spans="1:12" hidden="1" x14ac:dyDescent="0.25"/>
    <row r="12" spans="1:12" hidden="1" x14ac:dyDescent="0.25">
      <c r="D12" s="239"/>
      <c r="E12" s="239"/>
      <c r="F12" s="239"/>
      <c r="G12" s="239"/>
    </row>
    <row r="13" spans="1:12" s="240" customFormat="1" ht="28.15" customHeight="1" x14ac:dyDescent="0.2">
      <c r="A13" s="584" t="s">
        <v>319</v>
      </c>
      <c r="B13" s="584"/>
      <c r="C13" s="584"/>
      <c r="D13" s="584"/>
      <c r="E13" s="584"/>
      <c r="F13" s="584"/>
      <c r="G13" s="584"/>
    </row>
    <row r="14" spans="1:12" s="241" customFormat="1" ht="21.75" customHeight="1" x14ac:dyDescent="0.3">
      <c r="A14" s="587" t="s">
        <v>171</v>
      </c>
      <c r="B14" s="587"/>
      <c r="C14" s="587"/>
      <c r="D14" s="587"/>
      <c r="E14" s="587"/>
      <c r="F14" s="587"/>
      <c r="G14" s="587"/>
    </row>
    <row r="15" spans="1:12" s="241" customFormat="1" ht="22.15" customHeight="1" thickBot="1" x14ac:dyDescent="0.3">
      <c r="A15" s="243"/>
      <c r="B15" s="243"/>
      <c r="C15" s="243"/>
      <c r="D15" s="243"/>
      <c r="E15" s="243"/>
      <c r="F15" s="243"/>
      <c r="G15" s="244" t="s">
        <v>172</v>
      </c>
      <c r="L15" s="242"/>
    </row>
    <row r="16" spans="1:12" s="241" customFormat="1" ht="25.5" customHeight="1" thickBot="1" x14ac:dyDescent="0.3">
      <c r="A16" s="588" t="s">
        <v>280</v>
      </c>
      <c r="B16" s="589"/>
      <c r="C16" s="589"/>
      <c r="D16" s="589"/>
      <c r="E16" s="589"/>
      <c r="F16" s="589"/>
      <c r="G16" s="590"/>
    </row>
    <row r="17" spans="1:10" s="245" customFormat="1" ht="15.6" customHeight="1" x14ac:dyDescent="0.25">
      <c r="A17" s="591" t="s">
        <v>173</v>
      </c>
      <c r="B17" s="593" t="s">
        <v>281</v>
      </c>
      <c r="C17" s="595" t="s">
        <v>174</v>
      </c>
      <c r="D17" s="595" t="s">
        <v>175</v>
      </c>
      <c r="E17" s="595" t="s">
        <v>176</v>
      </c>
      <c r="F17" s="595" t="s">
        <v>177</v>
      </c>
      <c r="G17" s="601" t="s">
        <v>282</v>
      </c>
      <c r="I17" s="246"/>
    </row>
    <row r="18" spans="1:10" s="247" customFormat="1" ht="34.15" customHeight="1" x14ac:dyDescent="0.2">
      <c r="A18" s="592"/>
      <c r="B18" s="594"/>
      <c r="C18" s="596"/>
      <c r="D18" s="597"/>
      <c r="E18" s="597"/>
      <c r="F18" s="597"/>
      <c r="G18" s="602"/>
    </row>
    <row r="19" spans="1:10" s="247" customFormat="1" ht="34.15" customHeight="1" x14ac:dyDescent="0.2">
      <c r="A19" s="248"/>
      <c r="B19" s="249">
        <v>2610</v>
      </c>
      <c r="C19" s="250" t="s">
        <v>283</v>
      </c>
      <c r="D19" s="249"/>
      <c r="E19" s="249"/>
      <c r="F19" s="249"/>
      <c r="G19" s="251">
        <f>G20+G27+G32+G61+G81</f>
        <v>21998360.00300625</v>
      </c>
    </row>
    <row r="20" spans="1:10" s="247" customFormat="1" ht="15.75" x14ac:dyDescent="0.25">
      <c r="A20" s="252" t="s">
        <v>179</v>
      </c>
      <c r="B20" s="249"/>
      <c r="C20" s="253" t="s">
        <v>180</v>
      </c>
      <c r="D20" s="254"/>
      <c r="E20" s="255"/>
      <c r="F20" s="255"/>
      <c r="G20" s="256">
        <f>SUM(G25,G26)</f>
        <v>16098560</v>
      </c>
    </row>
    <row r="21" spans="1:10" s="247" customFormat="1" ht="18.75" customHeight="1" x14ac:dyDescent="0.25">
      <c r="A21" s="257"/>
      <c r="B21" s="258"/>
      <c r="C21" s="259" t="s">
        <v>181</v>
      </c>
      <c r="D21" s="260" t="s">
        <v>182</v>
      </c>
      <c r="E21" s="261">
        <v>60</v>
      </c>
      <c r="F21" s="262">
        <f>G21/12/E21</f>
        <v>15043.266666666666</v>
      </c>
      <c r="G21" s="263">
        <v>10831152</v>
      </c>
    </row>
    <row r="22" spans="1:10" s="247" customFormat="1" ht="20.25" customHeight="1" x14ac:dyDescent="0.25">
      <c r="A22" s="257"/>
      <c r="B22" s="258"/>
      <c r="C22" s="259" t="s">
        <v>183</v>
      </c>
      <c r="D22" s="260" t="s">
        <v>182</v>
      </c>
      <c r="E22" s="261">
        <v>59</v>
      </c>
      <c r="F22" s="262">
        <f>G22/12/E22</f>
        <v>1483.6412429378531</v>
      </c>
      <c r="G22" s="263">
        <v>1050418</v>
      </c>
    </row>
    <row r="23" spans="1:10" s="247" customFormat="1" ht="21.75" customHeight="1" x14ac:dyDescent="0.25">
      <c r="A23" s="257"/>
      <c r="B23" s="258"/>
      <c r="C23" s="259" t="s">
        <v>184</v>
      </c>
      <c r="D23" s="260" t="s">
        <v>182</v>
      </c>
      <c r="E23" s="261">
        <v>50</v>
      </c>
      <c r="F23" s="262">
        <f>G23/12/E23</f>
        <v>1454.65</v>
      </c>
      <c r="G23" s="263">
        <v>872790</v>
      </c>
      <c r="J23" s="264"/>
    </row>
    <row r="24" spans="1:10" s="247" customFormat="1" ht="32.25" customHeight="1" x14ac:dyDescent="0.25">
      <c r="A24" s="257"/>
      <c r="B24" s="258"/>
      <c r="C24" s="265" t="s">
        <v>185</v>
      </c>
      <c r="D24" s="260" t="s">
        <v>182</v>
      </c>
      <c r="E24" s="261">
        <v>55</v>
      </c>
      <c r="F24" s="262">
        <f>G24/12/E24</f>
        <v>3699.4</v>
      </c>
      <c r="G24" s="263">
        <v>2441604</v>
      </c>
    </row>
    <row r="25" spans="1:10" s="247" customFormat="1" ht="19.899999999999999" customHeight="1" x14ac:dyDescent="0.25">
      <c r="A25" s="266"/>
      <c r="B25" s="267"/>
      <c r="C25" s="268" t="s">
        <v>282</v>
      </c>
      <c r="D25" s="269"/>
      <c r="E25" s="270"/>
      <c r="F25" s="271"/>
      <c r="G25" s="272">
        <f>SUM(G21:G24)</f>
        <v>15195964</v>
      </c>
    </row>
    <row r="26" spans="1:10" s="247" customFormat="1" ht="33" customHeight="1" x14ac:dyDescent="0.25">
      <c r="A26" s="257"/>
      <c r="B26" s="258"/>
      <c r="C26" s="265" t="s">
        <v>186</v>
      </c>
      <c r="D26" s="260" t="s">
        <v>182</v>
      </c>
      <c r="E26" s="273">
        <v>60</v>
      </c>
      <c r="F26" s="262">
        <f>G26/E26</f>
        <v>15043.266666666666</v>
      </c>
      <c r="G26" s="274">
        <v>902596</v>
      </c>
    </row>
    <row r="27" spans="1:10" s="278" customFormat="1" ht="15.75" x14ac:dyDescent="0.25">
      <c r="A27" s="275" t="s">
        <v>187</v>
      </c>
      <c r="B27" s="267"/>
      <c r="C27" s="268" t="s">
        <v>188</v>
      </c>
      <c r="D27" s="276"/>
      <c r="E27" s="277"/>
      <c r="F27" s="277"/>
      <c r="G27" s="256">
        <f>G28</f>
        <v>3541683</v>
      </c>
    </row>
    <row r="28" spans="1:10" s="247" customFormat="1" ht="65.25" customHeight="1" x14ac:dyDescent="0.25">
      <c r="A28" s="257"/>
      <c r="B28" s="258"/>
      <c r="C28" s="279" t="s">
        <v>189</v>
      </c>
      <c r="D28" s="280" t="s">
        <v>172</v>
      </c>
      <c r="E28" s="273"/>
      <c r="F28" s="273"/>
      <c r="G28" s="274">
        <v>3541683</v>
      </c>
    </row>
    <row r="29" spans="1:10" s="247" customFormat="1" ht="21" customHeight="1" x14ac:dyDescent="0.25">
      <c r="A29" s="603"/>
      <c r="B29" s="604"/>
      <c r="C29" s="604"/>
      <c r="D29" s="604"/>
      <c r="E29" s="604"/>
      <c r="F29" s="604"/>
      <c r="G29" s="605"/>
    </row>
    <row r="30" spans="1:10" s="247" customFormat="1" ht="22.5" customHeight="1" x14ac:dyDescent="0.2">
      <c r="A30" s="606" t="s">
        <v>173</v>
      </c>
      <c r="B30" s="593" t="s">
        <v>281</v>
      </c>
      <c r="C30" s="597" t="s">
        <v>174</v>
      </c>
      <c r="D30" s="597" t="s">
        <v>175</v>
      </c>
      <c r="E30" s="607" t="s">
        <v>190</v>
      </c>
      <c r="F30" s="607" t="s">
        <v>191</v>
      </c>
      <c r="G30" s="608" t="s">
        <v>192</v>
      </c>
    </row>
    <row r="31" spans="1:10" s="247" customFormat="1" ht="15" customHeight="1" x14ac:dyDescent="0.2">
      <c r="A31" s="592"/>
      <c r="B31" s="594"/>
      <c r="C31" s="596"/>
      <c r="D31" s="597"/>
      <c r="E31" s="607"/>
      <c r="F31" s="607"/>
      <c r="G31" s="608"/>
    </row>
    <row r="32" spans="1:10" s="247" customFormat="1" ht="39" customHeight="1" x14ac:dyDescent="0.2">
      <c r="A32" s="281" t="s">
        <v>193</v>
      </c>
      <c r="B32" s="267"/>
      <c r="C32" s="282" t="s">
        <v>194</v>
      </c>
      <c r="D32" s="276"/>
      <c r="E32" s="277"/>
      <c r="F32" s="277"/>
      <c r="G32" s="256">
        <f>G33+G45+G54+G57</f>
        <v>942038</v>
      </c>
      <c r="H32" s="283"/>
    </row>
    <row r="33" spans="1:57" s="247" customFormat="1" ht="24" customHeight="1" x14ac:dyDescent="0.2">
      <c r="A33" s="284" t="s">
        <v>195</v>
      </c>
      <c r="B33" s="285"/>
      <c r="C33" s="286" t="s">
        <v>196</v>
      </c>
      <c r="D33" s="287"/>
      <c r="E33" s="288"/>
      <c r="F33" s="288"/>
      <c r="G33" s="289">
        <f>SUM(G34:G44)</f>
        <v>14843</v>
      </c>
    </row>
    <row r="34" spans="1:57" s="247" customFormat="1" ht="24" customHeight="1" x14ac:dyDescent="0.2">
      <c r="A34" s="290"/>
      <c r="B34" s="291"/>
      <c r="C34" s="292" t="s">
        <v>197</v>
      </c>
      <c r="D34" s="260" t="s">
        <v>284</v>
      </c>
      <c r="E34" s="261">
        <v>2</v>
      </c>
      <c r="F34" s="293">
        <v>26.5</v>
      </c>
      <c r="G34" s="263">
        <f t="shared" ref="G34:G60" si="0">F34*E34</f>
        <v>53</v>
      </c>
    </row>
    <row r="35" spans="1:57" s="247" customFormat="1" ht="23.25" customHeight="1" x14ac:dyDescent="0.2">
      <c r="A35" s="290"/>
      <c r="B35" s="291"/>
      <c r="C35" s="292" t="s">
        <v>285</v>
      </c>
      <c r="D35" s="260" t="s">
        <v>286</v>
      </c>
      <c r="E35" s="261">
        <v>68</v>
      </c>
      <c r="F35" s="293">
        <v>171</v>
      </c>
      <c r="G35" s="263">
        <f t="shared" si="0"/>
        <v>11628</v>
      </c>
    </row>
    <row r="36" spans="1:57" s="298" customFormat="1" ht="18" customHeight="1" x14ac:dyDescent="0.25">
      <c r="A36" s="294"/>
      <c r="B36" s="295"/>
      <c r="C36" s="296" t="s">
        <v>199</v>
      </c>
      <c r="D36" s="291" t="s">
        <v>198</v>
      </c>
      <c r="E36" s="291">
        <v>25</v>
      </c>
      <c r="F36" s="297">
        <v>6.9</v>
      </c>
      <c r="G36" s="263">
        <f t="shared" si="0"/>
        <v>172.5</v>
      </c>
      <c r="H36" s="247"/>
      <c r="I36" s="247"/>
      <c r="J36" s="247"/>
      <c r="K36" s="247"/>
      <c r="L36" s="247"/>
      <c r="M36" s="247"/>
      <c r="N36" s="247"/>
      <c r="O36" s="247"/>
      <c r="P36" s="247"/>
      <c r="Q36" s="247"/>
      <c r="R36" s="247"/>
      <c r="S36" s="247"/>
      <c r="T36" s="247"/>
      <c r="U36" s="247"/>
      <c r="V36" s="247"/>
      <c r="W36" s="247"/>
      <c r="X36" s="247"/>
      <c r="Y36" s="247"/>
      <c r="Z36" s="247"/>
      <c r="AA36" s="247"/>
      <c r="AB36" s="247"/>
      <c r="AC36" s="247"/>
      <c r="AD36" s="247"/>
      <c r="AE36" s="247"/>
      <c r="AF36" s="247"/>
      <c r="AG36" s="247"/>
      <c r="AH36" s="247"/>
      <c r="AI36" s="247"/>
      <c r="AJ36" s="247"/>
      <c r="AK36" s="247"/>
      <c r="AL36" s="247"/>
      <c r="AM36" s="247"/>
      <c r="AN36" s="247"/>
      <c r="AO36" s="247"/>
      <c r="AP36" s="247"/>
      <c r="AQ36" s="247"/>
      <c r="AR36" s="247"/>
      <c r="AS36" s="247"/>
      <c r="AT36" s="247"/>
      <c r="AU36" s="247"/>
      <c r="AV36" s="247"/>
      <c r="AW36" s="247"/>
      <c r="AX36" s="247"/>
      <c r="AY36" s="247"/>
      <c r="AZ36" s="247"/>
      <c r="BA36" s="247"/>
      <c r="BB36" s="247"/>
      <c r="BC36" s="247"/>
      <c r="BD36" s="247"/>
      <c r="BE36" s="247"/>
    </row>
    <row r="37" spans="1:57" s="298" customFormat="1" ht="20.25" customHeight="1" x14ac:dyDescent="0.25">
      <c r="A37" s="294"/>
      <c r="B37" s="295"/>
      <c r="C37" s="296" t="s">
        <v>287</v>
      </c>
      <c r="D37" s="291" t="s">
        <v>198</v>
      </c>
      <c r="E37" s="291">
        <v>4</v>
      </c>
      <c r="F37" s="297">
        <v>96.6</v>
      </c>
      <c r="G37" s="263">
        <f t="shared" si="0"/>
        <v>386.4</v>
      </c>
      <c r="H37" s="247"/>
      <c r="I37" s="247"/>
      <c r="J37" s="247"/>
      <c r="K37" s="247"/>
      <c r="L37" s="247"/>
      <c r="M37" s="247"/>
      <c r="N37" s="247"/>
      <c r="O37" s="247"/>
      <c r="P37" s="247"/>
      <c r="Q37" s="247"/>
      <c r="R37" s="247"/>
      <c r="S37" s="247"/>
      <c r="T37" s="247"/>
      <c r="U37" s="247"/>
      <c r="V37" s="247"/>
      <c r="W37" s="247"/>
      <c r="X37" s="247"/>
      <c r="Y37" s="247"/>
      <c r="Z37" s="247"/>
      <c r="AA37" s="247"/>
      <c r="AB37" s="247"/>
      <c r="AC37" s="247"/>
      <c r="AD37" s="247"/>
      <c r="AE37" s="247"/>
      <c r="AF37" s="247"/>
      <c r="AG37" s="247"/>
      <c r="AH37" s="247"/>
      <c r="AI37" s="247"/>
      <c r="AJ37" s="247"/>
      <c r="AK37" s="247"/>
      <c r="AL37" s="247"/>
      <c r="AM37" s="247"/>
      <c r="AN37" s="247"/>
      <c r="AO37" s="247"/>
      <c r="AP37" s="247"/>
      <c r="AQ37" s="247"/>
      <c r="AR37" s="247"/>
      <c r="AS37" s="247"/>
      <c r="AT37" s="247"/>
      <c r="AU37" s="247"/>
      <c r="AV37" s="247"/>
      <c r="AW37" s="247"/>
      <c r="AX37" s="247"/>
      <c r="AY37" s="247"/>
      <c r="AZ37" s="247"/>
      <c r="BA37" s="247"/>
      <c r="BB37" s="247"/>
      <c r="BC37" s="247"/>
      <c r="BD37" s="247"/>
      <c r="BE37" s="247"/>
    </row>
    <row r="38" spans="1:57" s="298" customFormat="1" ht="18.75" customHeight="1" x14ac:dyDescent="0.25">
      <c r="A38" s="294"/>
      <c r="B38" s="295"/>
      <c r="C38" s="296" t="s">
        <v>288</v>
      </c>
      <c r="D38" s="291" t="s">
        <v>198</v>
      </c>
      <c r="E38" s="291">
        <v>5</v>
      </c>
      <c r="F38" s="297">
        <v>96.6</v>
      </c>
      <c r="G38" s="263">
        <f t="shared" si="0"/>
        <v>483</v>
      </c>
      <c r="H38" s="247"/>
      <c r="I38" s="247"/>
      <c r="J38" s="247"/>
      <c r="K38" s="247"/>
      <c r="L38" s="247"/>
      <c r="M38" s="247"/>
      <c r="N38" s="247"/>
      <c r="O38" s="247"/>
      <c r="P38" s="247"/>
      <c r="Q38" s="247"/>
      <c r="R38" s="247"/>
      <c r="S38" s="247"/>
      <c r="T38" s="247"/>
      <c r="U38" s="247"/>
      <c r="V38" s="247"/>
      <c r="W38" s="247"/>
      <c r="X38" s="247"/>
      <c r="Y38" s="247"/>
      <c r="Z38" s="247"/>
      <c r="AA38" s="247"/>
      <c r="AB38" s="247"/>
      <c r="AC38" s="247"/>
      <c r="AD38" s="247"/>
      <c r="AE38" s="247"/>
      <c r="AF38" s="247"/>
      <c r="AG38" s="247"/>
      <c r="AH38" s="247"/>
      <c r="AI38" s="247"/>
      <c r="AJ38" s="247"/>
      <c r="AK38" s="247"/>
      <c r="AL38" s="247"/>
      <c r="AM38" s="247"/>
      <c r="AN38" s="247"/>
      <c r="AO38" s="247"/>
      <c r="AP38" s="247"/>
      <c r="AQ38" s="247"/>
      <c r="AR38" s="247"/>
      <c r="AS38" s="247"/>
      <c r="AT38" s="247"/>
      <c r="AU38" s="247"/>
      <c r="AV38" s="247"/>
      <c r="AW38" s="247"/>
      <c r="AX38" s="247"/>
      <c r="AY38" s="247"/>
      <c r="AZ38" s="247"/>
      <c r="BA38" s="247"/>
      <c r="BB38" s="247"/>
      <c r="BC38" s="247"/>
      <c r="BD38" s="247"/>
      <c r="BE38" s="247"/>
    </row>
    <row r="39" spans="1:57" s="298" customFormat="1" ht="20.25" customHeight="1" x14ac:dyDescent="0.25">
      <c r="A39" s="294"/>
      <c r="B39" s="295"/>
      <c r="C39" s="296" t="s">
        <v>200</v>
      </c>
      <c r="D39" s="291" t="s">
        <v>198</v>
      </c>
      <c r="E39" s="291">
        <v>5</v>
      </c>
      <c r="F39" s="297">
        <v>7.8</v>
      </c>
      <c r="G39" s="263">
        <f t="shared" si="0"/>
        <v>39</v>
      </c>
      <c r="H39" s="247"/>
      <c r="I39" s="247"/>
      <c r="J39" s="247"/>
      <c r="K39" s="247"/>
      <c r="L39" s="247"/>
      <c r="M39" s="247"/>
      <c r="N39" s="247"/>
      <c r="O39" s="247"/>
      <c r="P39" s="247"/>
      <c r="Q39" s="247"/>
      <c r="R39" s="247"/>
      <c r="S39" s="247"/>
      <c r="T39" s="247"/>
      <c r="U39" s="247"/>
      <c r="V39" s="247"/>
      <c r="W39" s="247"/>
      <c r="X39" s="247"/>
      <c r="Y39" s="247"/>
      <c r="Z39" s="247"/>
      <c r="AA39" s="247"/>
      <c r="AB39" s="247"/>
      <c r="AC39" s="247"/>
      <c r="AD39" s="247"/>
      <c r="AE39" s="247"/>
      <c r="AF39" s="247"/>
      <c r="AG39" s="247"/>
      <c r="AH39" s="247"/>
      <c r="AI39" s="247"/>
      <c r="AJ39" s="247"/>
      <c r="AK39" s="247"/>
      <c r="AL39" s="247"/>
      <c r="AM39" s="247"/>
      <c r="AN39" s="247"/>
      <c r="AO39" s="247"/>
      <c r="AP39" s="247"/>
      <c r="AQ39" s="247"/>
      <c r="AR39" s="247"/>
      <c r="AS39" s="247"/>
      <c r="AT39" s="247"/>
      <c r="AU39" s="247"/>
      <c r="AV39" s="247"/>
      <c r="AW39" s="247"/>
      <c r="AX39" s="247"/>
      <c r="AY39" s="247"/>
      <c r="AZ39" s="247"/>
      <c r="BA39" s="247"/>
      <c r="BB39" s="247"/>
      <c r="BC39" s="247"/>
      <c r="BD39" s="247"/>
      <c r="BE39" s="247"/>
    </row>
    <row r="40" spans="1:57" s="298" customFormat="1" ht="20.25" customHeight="1" x14ac:dyDescent="0.25">
      <c r="A40" s="294"/>
      <c r="B40" s="295"/>
      <c r="C40" s="296" t="s">
        <v>201</v>
      </c>
      <c r="D40" s="291" t="s">
        <v>289</v>
      </c>
      <c r="E40" s="291">
        <v>4</v>
      </c>
      <c r="F40" s="297">
        <v>29.4</v>
      </c>
      <c r="G40" s="263">
        <f t="shared" si="0"/>
        <v>117.6</v>
      </c>
      <c r="H40" s="247"/>
      <c r="I40" s="247"/>
      <c r="J40" s="247"/>
      <c r="K40" s="247"/>
      <c r="L40" s="247"/>
      <c r="M40" s="247"/>
      <c r="N40" s="247"/>
      <c r="O40" s="247"/>
      <c r="P40" s="247"/>
      <c r="Q40" s="247"/>
      <c r="R40" s="247"/>
      <c r="S40" s="247"/>
      <c r="T40" s="247"/>
      <c r="U40" s="247"/>
      <c r="V40" s="247"/>
      <c r="W40" s="247"/>
      <c r="X40" s="247"/>
      <c r="Y40" s="247"/>
      <c r="Z40" s="247"/>
      <c r="AA40" s="247"/>
      <c r="AB40" s="247"/>
      <c r="AC40" s="247"/>
      <c r="AD40" s="247"/>
      <c r="AE40" s="247"/>
      <c r="AF40" s="247"/>
      <c r="AG40" s="247"/>
      <c r="AH40" s="247"/>
      <c r="AI40" s="247"/>
      <c r="AJ40" s="247"/>
      <c r="AK40" s="247"/>
      <c r="AL40" s="247"/>
      <c r="AM40" s="247"/>
      <c r="AN40" s="247"/>
      <c r="AO40" s="247"/>
      <c r="AP40" s="247"/>
      <c r="AQ40" s="247"/>
      <c r="AR40" s="247"/>
      <c r="AS40" s="247"/>
      <c r="AT40" s="247"/>
      <c r="AU40" s="247"/>
      <c r="AV40" s="247"/>
      <c r="AW40" s="247"/>
      <c r="AX40" s="247"/>
      <c r="AY40" s="247"/>
      <c r="AZ40" s="247"/>
      <c r="BA40" s="247"/>
      <c r="BB40" s="247"/>
      <c r="BC40" s="247"/>
      <c r="BD40" s="247"/>
      <c r="BE40" s="247"/>
    </row>
    <row r="41" spans="1:57" s="298" customFormat="1" ht="20.25" customHeight="1" x14ac:dyDescent="0.25">
      <c r="A41" s="294"/>
      <c r="B41" s="295"/>
      <c r="C41" s="296" t="s">
        <v>202</v>
      </c>
      <c r="D41" s="291" t="s">
        <v>198</v>
      </c>
      <c r="E41" s="291">
        <v>5</v>
      </c>
      <c r="F41" s="297">
        <v>13.2</v>
      </c>
      <c r="G41" s="263">
        <f t="shared" si="0"/>
        <v>66</v>
      </c>
      <c r="H41" s="247"/>
      <c r="I41" s="247"/>
      <c r="J41" s="247"/>
      <c r="K41" s="247"/>
      <c r="L41" s="247"/>
      <c r="M41" s="247"/>
      <c r="N41" s="247"/>
      <c r="O41" s="247"/>
      <c r="P41" s="247"/>
      <c r="Q41" s="247"/>
      <c r="R41" s="247"/>
      <c r="S41" s="247"/>
      <c r="T41" s="247"/>
      <c r="U41" s="247"/>
      <c r="V41" s="247"/>
      <c r="W41" s="247"/>
      <c r="X41" s="247"/>
      <c r="Y41" s="247"/>
      <c r="Z41" s="247"/>
      <c r="AA41" s="247"/>
      <c r="AB41" s="247"/>
      <c r="AC41" s="247"/>
      <c r="AD41" s="247"/>
      <c r="AE41" s="247"/>
      <c r="AF41" s="247"/>
      <c r="AG41" s="247"/>
      <c r="AH41" s="247"/>
      <c r="AI41" s="247"/>
      <c r="AJ41" s="247"/>
      <c r="AK41" s="247"/>
      <c r="AL41" s="247"/>
      <c r="AM41" s="247"/>
      <c r="AN41" s="247"/>
      <c r="AO41" s="247"/>
      <c r="AP41" s="247"/>
      <c r="AQ41" s="247"/>
      <c r="AR41" s="247"/>
      <c r="AS41" s="247"/>
      <c r="AT41" s="247"/>
      <c r="AU41" s="247"/>
      <c r="AV41" s="247"/>
      <c r="AW41" s="247"/>
      <c r="AX41" s="247"/>
      <c r="AY41" s="247"/>
      <c r="AZ41" s="247"/>
      <c r="BA41" s="247"/>
      <c r="BB41" s="247"/>
      <c r="BC41" s="247"/>
      <c r="BD41" s="247"/>
      <c r="BE41" s="247"/>
    </row>
    <row r="42" spans="1:57" s="298" customFormat="1" ht="18.75" customHeight="1" x14ac:dyDescent="0.25">
      <c r="A42" s="294"/>
      <c r="B42" s="295"/>
      <c r="C42" s="296" t="s">
        <v>233</v>
      </c>
      <c r="D42" s="291" t="s">
        <v>198</v>
      </c>
      <c r="E42" s="291">
        <v>1</v>
      </c>
      <c r="F42" s="297">
        <v>420</v>
      </c>
      <c r="G42" s="263">
        <f t="shared" si="0"/>
        <v>420</v>
      </c>
      <c r="H42" s="247"/>
      <c r="I42" s="247"/>
      <c r="J42" s="247"/>
      <c r="K42" s="247"/>
      <c r="L42" s="247"/>
      <c r="M42" s="247"/>
      <c r="N42" s="247"/>
      <c r="O42" s="247"/>
      <c r="P42" s="247"/>
      <c r="Q42" s="247"/>
      <c r="R42" s="247"/>
      <c r="S42" s="247"/>
      <c r="T42" s="247"/>
      <c r="U42" s="247"/>
      <c r="V42" s="247"/>
      <c r="W42" s="247"/>
      <c r="X42" s="247"/>
      <c r="Y42" s="247"/>
      <c r="Z42" s="247"/>
      <c r="AA42" s="247"/>
      <c r="AB42" s="247"/>
      <c r="AC42" s="247"/>
      <c r="AD42" s="247"/>
      <c r="AE42" s="247"/>
      <c r="AF42" s="247"/>
      <c r="AG42" s="247"/>
      <c r="AH42" s="247"/>
      <c r="AI42" s="247"/>
      <c r="AJ42" s="247"/>
      <c r="AK42" s="247"/>
      <c r="AL42" s="247"/>
      <c r="AM42" s="247"/>
      <c r="AN42" s="247"/>
      <c r="AO42" s="247"/>
      <c r="AP42" s="247"/>
      <c r="AQ42" s="247"/>
      <c r="AR42" s="247"/>
      <c r="AS42" s="247"/>
      <c r="AT42" s="247"/>
      <c r="AU42" s="247"/>
      <c r="AV42" s="247"/>
      <c r="AW42" s="247"/>
      <c r="AX42" s="247"/>
      <c r="AY42" s="247"/>
      <c r="AZ42" s="247"/>
      <c r="BA42" s="247"/>
      <c r="BB42" s="247"/>
      <c r="BC42" s="247"/>
      <c r="BD42" s="247"/>
      <c r="BE42" s="247"/>
    </row>
    <row r="43" spans="1:57" s="298" customFormat="1" ht="21.75" customHeight="1" x14ac:dyDescent="0.25">
      <c r="A43" s="294"/>
      <c r="B43" s="295"/>
      <c r="C43" s="296" t="s">
        <v>233</v>
      </c>
      <c r="D43" s="291" t="s">
        <v>198</v>
      </c>
      <c r="E43" s="291">
        <v>3</v>
      </c>
      <c r="F43" s="297">
        <v>480</v>
      </c>
      <c r="G43" s="263">
        <f t="shared" si="0"/>
        <v>1440</v>
      </c>
      <c r="H43" s="247"/>
      <c r="I43" s="247"/>
      <c r="J43" s="247"/>
      <c r="K43" s="247"/>
      <c r="L43" s="247"/>
      <c r="M43" s="247"/>
      <c r="N43" s="247"/>
      <c r="O43" s="247"/>
      <c r="P43" s="247"/>
      <c r="Q43" s="247"/>
      <c r="R43" s="247"/>
      <c r="S43" s="247"/>
      <c r="T43" s="247"/>
      <c r="U43" s="247"/>
      <c r="V43" s="247"/>
      <c r="W43" s="247"/>
      <c r="X43" s="247"/>
      <c r="Y43" s="247"/>
      <c r="Z43" s="247"/>
      <c r="AA43" s="247"/>
      <c r="AB43" s="247"/>
      <c r="AC43" s="247"/>
      <c r="AD43" s="247"/>
      <c r="AE43" s="247"/>
      <c r="AF43" s="247"/>
      <c r="AG43" s="247"/>
      <c r="AH43" s="247"/>
      <c r="AI43" s="247"/>
      <c r="AJ43" s="247"/>
      <c r="AK43" s="247"/>
      <c r="AL43" s="247"/>
      <c r="AM43" s="247"/>
      <c r="AN43" s="247"/>
      <c r="AO43" s="247"/>
      <c r="AP43" s="247"/>
      <c r="AQ43" s="247"/>
      <c r="AR43" s="247"/>
      <c r="AS43" s="247"/>
      <c r="AT43" s="247"/>
      <c r="AU43" s="247"/>
      <c r="AV43" s="247"/>
      <c r="AW43" s="247"/>
      <c r="AX43" s="247"/>
      <c r="AY43" s="247"/>
      <c r="AZ43" s="247"/>
      <c r="BA43" s="247"/>
      <c r="BB43" s="247"/>
      <c r="BC43" s="247"/>
      <c r="BD43" s="247"/>
      <c r="BE43" s="247"/>
    </row>
    <row r="44" spans="1:57" s="298" customFormat="1" ht="19.5" customHeight="1" x14ac:dyDescent="0.25">
      <c r="A44" s="294"/>
      <c r="B44" s="295"/>
      <c r="C44" s="296" t="s">
        <v>203</v>
      </c>
      <c r="D44" s="291" t="s">
        <v>198</v>
      </c>
      <c r="E44" s="291">
        <v>5</v>
      </c>
      <c r="F44" s="297">
        <v>7.5</v>
      </c>
      <c r="G44" s="263">
        <f t="shared" si="0"/>
        <v>37.5</v>
      </c>
      <c r="H44" s="247"/>
      <c r="I44" s="247"/>
      <c r="J44" s="247"/>
      <c r="K44" s="247"/>
      <c r="L44" s="247"/>
      <c r="M44" s="247"/>
      <c r="N44" s="247"/>
      <c r="O44" s="247"/>
      <c r="P44" s="247"/>
      <c r="Q44" s="247"/>
      <c r="R44" s="247"/>
      <c r="S44" s="247"/>
      <c r="T44" s="247"/>
      <c r="U44" s="247"/>
      <c r="V44" s="247"/>
      <c r="W44" s="247"/>
      <c r="X44" s="247"/>
      <c r="Y44" s="247"/>
      <c r="Z44" s="247"/>
      <c r="AA44" s="247"/>
      <c r="AB44" s="247"/>
      <c r="AC44" s="247"/>
      <c r="AD44" s="247"/>
      <c r="AE44" s="247"/>
      <c r="AF44" s="247"/>
      <c r="AG44" s="247"/>
      <c r="AH44" s="247"/>
      <c r="AI44" s="247"/>
      <c r="AJ44" s="247"/>
      <c r="AK44" s="247"/>
      <c r="AL44" s="247"/>
      <c r="AM44" s="247"/>
      <c r="AN44" s="247"/>
      <c r="AO44" s="247"/>
      <c r="AP44" s="247"/>
      <c r="AQ44" s="247"/>
      <c r="AR44" s="247"/>
      <c r="AS44" s="247"/>
      <c r="AT44" s="247"/>
      <c r="AU44" s="247"/>
      <c r="AV44" s="247"/>
      <c r="AW44" s="247"/>
      <c r="AX44" s="247"/>
      <c r="AY44" s="247"/>
      <c r="AZ44" s="247"/>
      <c r="BA44" s="247"/>
      <c r="BB44" s="247"/>
      <c r="BC44" s="247"/>
      <c r="BD44" s="247"/>
      <c r="BE44" s="247"/>
    </row>
    <row r="45" spans="1:57" s="298" customFormat="1" ht="19.5" customHeight="1" x14ac:dyDescent="0.2">
      <c r="A45" s="284" t="s">
        <v>290</v>
      </c>
      <c r="B45" s="285"/>
      <c r="C45" s="286" t="s">
        <v>291</v>
      </c>
      <c r="D45" s="287"/>
      <c r="E45" s="288"/>
      <c r="F45" s="288"/>
      <c r="G45" s="289">
        <f>SUM(G46:G53)</f>
        <v>677600</v>
      </c>
      <c r="H45" s="247"/>
      <c r="I45" s="247"/>
      <c r="J45" s="247"/>
      <c r="K45" s="247"/>
      <c r="L45" s="247"/>
      <c r="M45" s="247"/>
      <c r="N45" s="247"/>
      <c r="O45" s="247"/>
      <c r="P45" s="247"/>
      <c r="Q45" s="247"/>
      <c r="R45" s="247"/>
      <c r="S45" s="247"/>
      <c r="T45" s="247"/>
      <c r="U45" s="247"/>
      <c r="V45" s="247"/>
      <c r="W45" s="247"/>
      <c r="X45" s="247"/>
      <c r="Y45" s="247"/>
      <c r="Z45" s="247"/>
      <c r="AA45" s="247"/>
      <c r="AB45" s="247"/>
      <c r="AC45" s="247"/>
      <c r="AD45" s="247"/>
      <c r="AE45" s="247"/>
      <c r="AF45" s="247"/>
      <c r="AG45" s="247"/>
      <c r="AH45" s="247"/>
      <c r="AI45" s="247"/>
      <c r="AJ45" s="247"/>
      <c r="AK45" s="247"/>
      <c r="AL45" s="247"/>
      <c r="AM45" s="247"/>
      <c r="AN45" s="247"/>
      <c r="AO45" s="247"/>
      <c r="AP45" s="247"/>
      <c r="AQ45" s="247"/>
      <c r="AR45" s="247"/>
      <c r="AS45" s="247"/>
      <c r="AT45" s="247"/>
      <c r="AU45" s="247"/>
      <c r="AV45" s="247"/>
      <c r="AW45" s="247"/>
      <c r="AX45" s="247"/>
      <c r="AY45" s="247"/>
      <c r="AZ45" s="247"/>
      <c r="BA45" s="247"/>
      <c r="BB45" s="247"/>
      <c r="BC45" s="247"/>
      <c r="BD45" s="247"/>
      <c r="BE45" s="247"/>
    </row>
    <row r="46" spans="1:57" s="298" customFormat="1" ht="19.5" customHeight="1" x14ac:dyDescent="0.25">
      <c r="A46" s="294"/>
      <c r="B46" s="295"/>
      <c r="C46" s="296" t="s">
        <v>292</v>
      </c>
      <c r="D46" s="291" t="s">
        <v>293</v>
      </c>
      <c r="E46" s="291">
        <v>56</v>
      </c>
      <c r="F46" s="299">
        <v>3500</v>
      </c>
      <c r="G46" s="263">
        <f t="shared" si="0"/>
        <v>196000</v>
      </c>
      <c r="H46" s="247"/>
      <c r="I46" s="247"/>
      <c r="J46" s="247"/>
      <c r="K46" s="247"/>
      <c r="L46" s="247"/>
      <c r="M46" s="247"/>
      <c r="N46" s="247"/>
      <c r="O46" s="247"/>
      <c r="P46" s="247"/>
      <c r="Q46" s="247"/>
      <c r="R46" s="247"/>
      <c r="S46" s="247"/>
      <c r="T46" s="247"/>
      <c r="U46" s="247"/>
      <c r="V46" s="247"/>
      <c r="W46" s="247"/>
      <c r="X46" s="247"/>
      <c r="Y46" s="247"/>
      <c r="Z46" s="247"/>
      <c r="AA46" s="247"/>
      <c r="AB46" s="247"/>
      <c r="AC46" s="247"/>
      <c r="AD46" s="247"/>
      <c r="AE46" s="247"/>
      <c r="AF46" s="247"/>
      <c r="AG46" s="247"/>
      <c r="AH46" s="247"/>
      <c r="AI46" s="247"/>
      <c r="AJ46" s="247"/>
      <c r="AK46" s="247"/>
      <c r="AL46" s="247"/>
      <c r="AM46" s="247"/>
      <c r="AN46" s="247"/>
      <c r="AO46" s="247"/>
      <c r="AP46" s="247"/>
      <c r="AQ46" s="247"/>
      <c r="AR46" s="247"/>
      <c r="AS46" s="247"/>
      <c r="AT46" s="247"/>
      <c r="AU46" s="247"/>
      <c r="AV46" s="247"/>
      <c r="AW46" s="247"/>
      <c r="AX46" s="247"/>
      <c r="AY46" s="247"/>
      <c r="AZ46" s="247"/>
      <c r="BA46" s="247"/>
      <c r="BB46" s="247"/>
      <c r="BC46" s="247"/>
      <c r="BD46" s="247"/>
      <c r="BE46" s="247"/>
    </row>
    <row r="47" spans="1:57" s="298" customFormat="1" ht="19.5" customHeight="1" x14ac:dyDescent="0.25">
      <c r="A47" s="294"/>
      <c r="B47" s="295"/>
      <c r="C47" s="296" t="s">
        <v>294</v>
      </c>
      <c r="D47" s="291" t="s">
        <v>293</v>
      </c>
      <c r="E47" s="291">
        <v>56</v>
      </c>
      <c r="F47" s="299">
        <v>4700</v>
      </c>
      <c r="G47" s="263">
        <f t="shared" si="0"/>
        <v>263200</v>
      </c>
      <c r="H47" s="247"/>
      <c r="I47" s="247"/>
      <c r="J47" s="247"/>
      <c r="K47" s="247"/>
      <c r="L47" s="247"/>
      <c r="M47" s="247"/>
      <c r="N47" s="247"/>
      <c r="O47" s="247"/>
      <c r="P47" s="247"/>
      <c r="Q47" s="247"/>
      <c r="R47" s="247"/>
      <c r="S47" s="247"/>
      <c r="T47" s="247"/>
      <c r="U47" s="247"/>
      <c r="V47" s="247"/>
      <c r="W47" s="247"/>
      <c r="X47" s="247"/>
      <c r="Y47" s="247"/>
      <c r="Z47" s="247"/>
      <c r="AA47" s="247"/>
      <c r="AB47" s="247"/>
      <c r="AC47" s="247"/>
      <c r="AD47" s="247"/>
      <c r="AE47" s="247"/>
      <c r="AF47" s="247"/>
      <c r="AG47" s="247"/>
      <c r="AH47" s="247"/>
      <c r="AI47" s="247"/>
      <c r="AJ47" s="247"/>
      <c r="AK47" s="247"/>
      <c r="AL47" s="247"/>
      <c r="AM47" s="247"/>
      <c r="AN47" s="247"/>
      <c r="AO47" s="247"/>
      <c r="AP47" s="247"/>
      <c r="AQ47" s="247"/>
      <c r="AR47" s="247"/>
      <c r="AS47" s="247"/>
      <c r="AT47" s="247"/>
      <c r="AU47" s="247"/>
      <c r="AV47" s="247"/>
      <c r="AW47" s="247"/>
      <c r="AX47" s="247"/>
      <c r="AY47" s="247"/>
      <c r="AZ47" s="247"/>
      <c r="BA47" s="247"/>
      <c r="BB47" s="247"/>
      <c r="BC47" s="247"/>
      <c r="BD47" s="247"/>
      <c r="BE47" s="247"/>
    </row>
    <row r="48" spans="1:57" s="298" customFormat="1" ht="19.5" customHeight="1" x14ac:dyDescent="0.25">
      <c r="A48" s="294"/>
      <c r="B48" s="295"/>
      <c r="C48" s="296" t="s">
        <v>295</v>
      </c>
      <c r="D48" s="291" t="s">
        <v>198</v>
      </c>
      <c r="E48" s="291">
        <v>56</v>
      </c>
      <c r="F48" s="299">
        <v>1400</v>
      </c>
      <c r="G48" s="263">
        <f t="shared" si="0"/>
        <v>78400</v>
      </c>
      <c r="H48" s="247"/>
      <c r="I48" s="247"/>
      <c r="J48" s="247"/>
      <c r="K48" s="247"/>
      <c r="L48" s="247"/>
      <c r="M48" s="247"/>
      <c r="N48" s="247"/>
      <c r="O48" s="247"/>
      <c r="P48" s="247"/>
      <c r="Q48" s="247"/>
      <c r="R48" s="247"/>
      <c r="S48" s="247"/>
      <c r="T48" s="247"/>
      <c r="U48" s="247"/>
      <c r="V48" s="247"/>
      <c r="W48" s="247"/>
      <c r="X48" s="247"/>
      <c r="Y48" s="247"/>
      <c r="Z48" s="247"/>
      <c r="AA48" s="247"/>
      <c r="AB48" s="247"/>
      <c r="AC48" s="247"/>
      <c r="AD48" s="247"/>
      <c r="AE48" s="247"/>
      <c r="AF48" s="247"/>
      <c r="AG48" s="247"/>
      <c r="AH48" s="247"/>
      <c r="AI48" s="247"/>
      <c r="AJ48" s="247"/>
      <c r="AK48" s="247"/>
      <c r="AL48" s="247"/>
      <c r="AM48" s="247"/>
      <c r="AN48" s="247"/>
      <c r="AO48" s="247"/>
      <c r="AP48" s="247"/>
      <c r="AQ48" s="247"/>
      <c r="AR48" s="247"/>
      <c r="AS48" s="247"/>
      <c r="AT48" s="247"/>
      <c r="AU48" s="247"/>
      <c r="AV48" s="247"/>
      <c r="AW48" s="247"/>
      <c r="AX48" s="247"/>
      <c r="AY48" s="247"/>
      <c r="AZ48" s="247"/>
      <c r="BA48" s="247"/>
      <c r="BB48" s="247"/>
      <c r="BC48" s="247"/>
      <c r="BD48" s="247"/>
      <c r="BE48" s="247"/>
    </row>
    <row r="49" spans="1:57" s="298" customFormat="1" ht="19.5" customHeight="1" x14ac:dyDescent="0.25">
      <c r="A49" s="294"/>
      <c r="B49" s="295"/>
      <c r="C49" s="296" t="s">
        <v>296</v>
      </c>
      <c r="D49" s="291" t="s">
        <v>198</v>
      </c>
      <c r="E49" s="291">
        <v>56</v>
      </c>
      <c r="F49" s="299">
        <v>250</v>
      </c>
      <c r="G49" s="263">
        <f t="shared" si="0"/>
        <v>14000</v>
      </c>
      <c r="H49" s="247"/>
      <c r="I49" s="247"/>
      <c r="J49" s="247"/>
      <c r="K49" s="247"/>
      <c r="L49" s="247"/>
      <c r="M49" s="247"/>
      <c r="N49" s="247"/>
      <c r="O49" s="247"/>
      <c r="P49" s="247"/>
      <c r="Q49" s="247"/>
      <c r="R49" s="247"/>
      <c r="S49" s="247"/>
      <c r="T49" s="247"/>
      <c r="U49" s="247"/>
      <c r="V49" s="247"/>
      <c r="W49" s="247"/>
      <c r="X49" s="247"/>
      <c r="Y49" s="247"/>
      <c r="Z49" s="247"/>
      <c r="AA49" s="247"/>
      <c r="AB49" s="247"/>
      <c r="AC49" s="247"/>
      <c r="AD49" s="247"/>
      <c r="AE49" s="247"/>
      <c r="AF49" s="247"/>
      <c r="AG49" s="247"/>
      <c r="AH49" s="247"/>
      <c r="AI49" s="247"/>
      <c r="AJ49" s="247"/>
      <c r="AK49" s="247"/>
      <c r="AL49" s="247"/>
      <c r="AM49" s="247"/>
      <c r="AN49" s="247"/>
      <c r="AO49" s="247"/>
      <c r="AP49" s="247"/>
      <c r="AQ49" s="247"/>
      <c r="AR49" s="247"/>
      <c r="AS49" s="247"/>
      <c r="AT49" s="247"/>
      <c r="AU49" s="247"/>
      <c r="AV49" s="247"/>
      <c r="AW49" s="247"/>
      <c r="AX49" s="247"/>
      <c r="AY49" s="247"/>
      <c r="AZ49" s="247"/>
      <c r="BA49" s="247"/>
      <c r="BB49" s="247"/>
      <c r="BC49" s="247"/>
      <c r="BD49" s="247"/>
      <c r="BE49" s="247"/>
    </row>
    <row r="50" spans="1:57" s="298" customFormat="1" ht="19.5" customHeight="1" x14ac:dyDescent="0.25">
      <c r="A50" s="294"/>
      <c r="B50" s="295"/>
      <c r="C50" s="296" t="s">
        <v>297</v>
      </c>
      <c r="D50" s="291" t="s">
        <v>198</v>
      </c>
      <c r="E50" s="291">
        <v>112</v>
      </c>
      <c r="F50" s="299">
        <v>650</v>
      </c>
      <c r="G50" s="263">
        <f>F50*E50</f>
        <v>72800</v>
      </c>
      <c r="H50" s="247"/>
      <c r="I50" s="247"/>
      <c r="J50" s="247"/>
      <c r="K50" s="247"/>
      <c r="L50" s="247"/>
      <c r="M50" s="247"/>
      <c r="N50" s="247"/>
      <c r="O50" s="247"/>
      <c r="P50" s="247"/>
      <c r="Q50" s="247"/>
      <c r="R50" s="247"/>
      <c r="S50" s="247"/>
      <c r="T50" s="247"/>
      <c r="U50" s="247"/>
      <c r="V50" s="247"/>
      <c r="W50" s="247"/>
      <c r="X50" s="247"/>
      <c r="Y50" s="247"/>
      <c r="Z50" s="247"/>
      <c r="AA50" s="247"/>
      <c r="AB50" s="247"/>
      <c r="AC50" s="247"/>
      <c r="AD50" s="247"/>
      <c r="AE50" s="247"/>
      <c r="AF50" s="247"/>
      <c r="AG50" s="247"/>
      <c r="AH50" s="247"/>
      <c r="AI50" s="247"/>
      <c r="AJ50" s="247"/>
      <c r="AK50" s="247"/>
      <c r="AL50" s="247"/>
      <c r="AM50" s="247"/>
      <c r="AN50" s="247"/>
      <c r="AO50" s="247"/>
      <c r="AP50" s="247"/>
      <c r="AQ50" s="247"/>
      <c r="AR50" s="247"/>
      <c r="AS50" s="247"/>
      <c r="AT50" s="247"/>
      <c r="AU50" s="247"/>
      <c r="AV50" s="247"/>
      <c r="AW50" s="247"/>
      <c r="AX50" s="247"/>
      <c r="AY50" s="247"/>
      <c r="AZ50" s="247"/>
      <c r="BA50" s="247"/>
      <c r="BB50" s="247"/>
      <c r="BC50" s="247"/>
      <c r="BD50" s="247"/>
      <c r="BE50" s="247"/>
    </row>
    <row r="51" spans="1:57" s="298" customFormat="1" ht="19.5" customHeight="1" x14ac:dyDescent="0.25">
      <c r="A51" s="294"/>
      <c r="B51" s="295"/>
      <c r="C51" s="296" t="s">
        <v>298</v>
      </c>
      <c r="D51" s="291" t="s">
        <v>198</v>
      </c>
      <c r="E51" s="291">
        <v>56</v>
      </c>
      <c r="F51" s="299">
        <v>350</v>
      </c>
      <c r="G51" s="263">
        <f>F51*E51</f>
        <v>19600</v>
      </c>
      <c r="H51" s="247"/>
      <c r="I51" s="247"/>
      <c r="J51" s="247"/>
      <c r="K51" s="247"/>
      <c r="L51" s="247"/>
      <c r="M51" s="247"/>
      <c r="N51" s="247"/>
      <c r="O51" s="247"/>
      <c r="P51" s="247"/>
      <c r="Q51" s="247"/>
      <c r="R51" s="247"/>
      <c r="S51" s="247"/>
      <c r="T51" s="247"/>
      <c r="U51" s="247"/>
      <c r="V51" s="247"/>
      <c r="W51" s="247"/>
      <c r="X51" s="247"/>
      <c r="Y51" s="247"/>
      <c r="Z51" s="247"/>
      <c r="AA51" s="247"/>
      <c r="AB51" s="247"/>
      <c r="AC51" s="247"/>
      <c r="AD51" s="247"/>
      <c r="AE51" s="247"/>
      <c r="AF51" s="247"/>
      <c r="AG51" s="247"/>
      <c r="AH51" s="247"/>
      <c r="AI51" s="247"/>
      <c r="AJ51" s="247"/>
      <c r="AK51" s="247"/>
      <c r="AL51" s="247"/>
      <c r="AM51" s="247"/>
      <c r="AN51" s="247"/>
      <c r="AO51" s="247"/>
      <c r="AP51" s="247"/>
      <c r="AQ51" s="247"/>
      <c r="AR51" s="247"/>
      <c r="AS51" s="247"/>
      <c r="AT51" s="247"/>
      <c r="AU51" s="247"/>
      <c r="AV51" s="247"/>
      <c r="AW51" s="247"/>
      <c r="AX51" s="247"/>
      <c r="AY51" s="247"/>
      <c r="AZ51" s="247"/>
      <c r="BA51" s="247"/>
      <c r="BB51" s="247"/>
      <c r="BC51" s="247"/>
      <c r="BD51" s="247"/>
      <c r="BE51" s="247"/>
    </row>
    <row r="52" spans="1:57" s="298" customFormat="1" ht="19.5" customHeight="1" x14ac:dyDescent="0.25">
      <c r="A52" s="294"/>
      <c r="B52" s="295"/>
      <c r="C52" s="296" t="s">
        <v>299</v>
      </c>
      <c r="D52" s="291" t="s">
        <v>198</v>
      </c>
      <c r="E52" s="291">
        <v>56</v>
      </c>
      <c r="F52" s="299">
        <v>400</v>
      </c>
      <c r="G52" s="263">
        <f t="shared" si="0"/>
        <v>22400</v>
      </c>
      <c r="H52" s="247"/>
      <c r="I52" s="247"/>
      <c r="J52" s="247"/>
      <c r="K52" s="247"/>
      <c r="L52" s="247"/>
      <c r="M52" s="247"/>
      <c r="N52" s="247"/>
      <c r="O52" s="247"/>
      <c r="P52" s="247"/>
      <c r="Q52" s="247"/>
      <c r="R52" s="247"/>
      <c r="S52" s="247"/>
      <c r="T52" s="247"/>
      <c r="U52" s="247"/>
      <c r="V52" s="247"/>
      <c r="W52" s="247"/>
      <c r="X52" s="247"/>
      <c r="Y52" s="247"/>
      <c r="Z52" s="247"/>
      <c r="AA52" s="247"/>
      <c r="AB52" s="247"/>
      <c r="AC52" s="247"/>
      <c r="AD52" s="247"/>
      <c r="AE52" s="247"/>
      <c r="AF52" s="247"/>
      <c r="AG52" s="247"/>
      <c r="AH52" s="247"/>
      <c r="AI52" s="247"/>
      <c r="AJ52" s="247"/>
      <c r="AK52" s="247"/>
      <c r="AL52" s="247"/>
      <c r="AM52" s="247"/>
      <c r="AN52" s="247"/>
      <c r="AO52" s="247"/>
      <c r="AP52" s="247"/>
      <c r="AQ52" s="247"/>
      <c r="AR52" s="247"/>
      <c r="AS52" s="247"/>
      <c r="AT52" s="247"/>
      <c r="AU52" s="247"/>
      <c r="AV52" s="247"/>
      <c r="AW52" s="247"/>
      <c r="AX52" s="247"/>
      <c r="AY52" s="247"/>
      <c r="AZ52" s="247"/>
      <c r="BA52" s="247"/>
      <c r="BB52" s="247"/>
      <c r="BC52" s="247"/>
      <c r="BD52" s="247"/>
      <c r="BE52" s="247"/>
    </row>
    <row r="53" spans="1:57" s="298" customFormat="1" ht="19.5" customHeight="1" x14ac:dyDescent="0.25">
      <c r="A53" s="294"/>
      <c r="B53" s="295"/>
      <c r="C53" s="296" t="s">
        <v>300</v>
      </c>
      <c r="D53" s="291" t="s">
        <v>198</v>
      </c>
      <c r="E53" s="291">
        <f>56*4</f>
        <v>224</v>
      </c>
      <c r="F53" s="299">
        <v>50</v>
      </c>
      <c r="G53" s="263">
        <f t="shared" si="0"/>
        <v>11200</v>
      </c>
      <c r="H53" s="247"/>
      <c r="I53" s="247"/>
      <c r="J53" s="247"/>
      <c r="K53" s="247"/>
      <c r="L53" s="247"/>
      <c r="M53" s="247"/>
      <c r="N53" s="247"/>
      <c r="O53" s="247"/>
      <c r="P53" s="247"/>
      <c r="Q53" s="247"/>
      <c r="R53" s="247"/>
      <c r="S53" s="247"/>
      <c r="T53" s="247"/>
      <c r="U53" s="247"/>
      <c r="V53" s="247"/>
      <c r="W53" s="247"/>
      <c r="X53" s="247"/>
      <c r="Y53" s="247"/>
      <c r="Z53" s="247"/>
      <c r="AA53" s="247"/>
      <c r="AB53" s="247"/>
      <c r="AC53" s="247"/>
      <c r="AD53" s="247"/>
      <c r="AE53" s="247"/>
      <c r="AF53" s="247"/>
      <c r="AG53" s="247"/>
      <c r="AH53" s="247"/>
      <c r="AI53" s="247"/>
      <c r="AJ53" s="247"/>
      <c r="AK53" s="247"/>
      <c r="AL53" s="247"/>
      <c r="AM53" s="247"/>
      <c r="AN53" s="247"/>
      <c r="AO53" s="247"/>
      <c r="AP53" s="247"/>
      <c r="AQ53" s="247"/>
      <c r="AR53" s="247"/>
      <c r="AS53" s="247"/>
      <c r="AT53" s="247"/>
      <c r="AU53" s="247"/>
      <c r="AV53" s="247"/>
      <c r="AW53" s="247"/>
      <c r="AX53" s="247"/>
      <c r="AY53" s="247"/>
      <c r="AZ53" s="247"/>
      <c r="BA53" s="247"/>
      <c r="BB53" s="247"/>
      <c r="BC53" s="247"/>
      <c r="BD53" s="247"/>
      <c r="BE53" s="247"/>
    </row>
    <row r="54" spans="1:57" s="298" customFormat="1" ht="19.5" customHeight="1" x14ac:dyDescent="0.2">
      <c r="A54" s="284" t="s">
        <v>301</v>
      </c>
      <c r="B54" s="285"/>
      <c r="C54" s="286" t="s">
        <v>302</v>
      </c>
      <c r="D54" s="287"/>
      <c r="E54" s="288"/>
      <c r="F54" s="300"/>
      <c r="G54" s="289">
        <f>SUM(G55:G56)</f>
        <v>246400</v>
      </c>
      <c r="H54" s="247"/>
      <c r="I54" s="247"/>
      <c r="J54" s="247"/>
      <c r="K54" s="247"/>
      <c r="L54" s="247"/>
      <c r="M54" s="247"/>
      <c r="N54" s="247"/>
      <c r="O54" s="247"/>
      <c r="P54" s="247"/>
      <c r="Q54" s="247"/>
      <c r="R54" s="247"/>
      <c r="S54" s="247"/>
      <c r="T54" s="247"/>
      <c r="U54" s="247"/>
      <c r="V54" s="247"/>
      <c r="W54" s="247"/>
      <c r="X54" s="247"/>
      <c r="Y54" s="247"/>
      <c r="Z54" s="247"/>
      <c r="AA54" s="247"/>
      <c r="AB54" s="247"/>
      <c r="AC54" s="247"/>
      <c r="AD54" s="247"/>
      <c r="AE54" s="247"/>
      <c r="AF54" s="247"/>
      <c r="AG54" s="247"/>
      <c r="AH54" s="247"/>
      <c r="AI54" s="247"/>
      <c r="AJ54" s="247"/>
      <c r="AK54" s="247"/>
      <c r="AL54" s="247"/>
      <c r="AM54" s="247"/>
      <c r="AN54" s="247"/>
      <c r="AO54" s="247"/>
      <c r="AP54" s="247"/>
      <c r="AQ54" s="247"/>
      <c r="AR54" s="247"/>
      <c r="AS54" s="247"/>
      <c r="AT54" s="247"/>
      <c r="AU54" s="247"/>
      <c r="AV54" s="247"/>
      <c r="AW54" s="247"/>
      <c r="AX54" s="247"/>
      <c r="AY54" s="247"/>
      <c r="AZ54" s="247"/>
      <c r="BA54" s="247"/>
      <c r="BB54" s="247"/>
      <c r="BC54" s="247"/>
      <c r="BD54" s="247"/>
      <c r="BE54" s="247"/>
    </row>
    <row r="55" spans="1:57" s="298" customFormat="1" ht="19.5" customHeight="1" x14ac:dyDescent="0.25">
      <c r="A55" s="294"/>
      <c r="B55" s="295"/>
      <c r="C55" s="296" t="s">
        <v>303</v>
      </c>
      <c r="D55" s="291" t="s">
        <v>304</v>
      </c>
      <c r="E55" s="291">
        <v>56</v>
      </c>
      <c r="F55" s="299">
        <v>1900</v>
      </c>
      <c r="G55" s="263">
        <f t="shared" si="0"/>
        <v>106400</v>
      </c>
      <c r="H55" s="247"/>
      <c r="I55" s="247"/>
      <c r="J55" s="247"/>
      <c r="K55" s="247"/>
      <c r="L55" s="247"/>
      <c r="M55" s="247"/>
      <c r="N55" s="247"/>
      <c r="O55" s="247"/>
      <c r="P55" s="247"/>
      <c r="Q55" s="247"/>
      <c r="R55" s="247"/>
      <c r="S55" s="247"/>
      <c r="T55" s="247"/>
      <c r="U55" s="247"/>
      <c r="V55" s="247"/>
      <c r="W55" s="247"/>
      <c r="X55" s="247"/>
      <c r="Y55" s="247"/>
      <c r="Z55" s="247"/>
      <c r="AA55" s="247"/>
      <c r="AB55" s="247"/>
      <c r="AC55" s="247"/>
      <c r="AD55" s="247"/>
      <c r="AE55" s="247"/>
      <c r="AF55" s="247"/>
      <c r="AG55" s="247"/>
      <c r="AH55" s="247"/>
      <c r="AI55" s="247"/>
      <c r="AJ55" s="247"/>
      <c r="AK55" s="247"/>
      <c r="AL55" s="247"/>
      <c r="AM55" s="247"/>
      <c r="AN55" s="247"/>
      <c r="AO55" s="247"/>
      <c r="AP55" s="247"/>
      <c r="AQ55" s="247"/>
      <c r="AR55" s="247"/>
      <c r="AS55" s="247"/>
      <c r="AT55" s="247"/>
      <c r="AU55" s="247"/>
      <c r="AV55" s="247"/>
      <c r="AW55" s="247"/>
      <c r="AX55" s="247"/>
      <c r="AY55" s="247"/>
      <c r="AZ55" s="247"/>
      <c r="BA55" s="247"/>
      <c r="BB55" s="247"/>
      <c r="BC55" s="247"/>
      <c r="BD55" s="247"/>
      <c r="BE55" s="247"/>
    </row>
    <row r="56" spans="1:57" s="298" customFormat="1" ht="19.5" customHeight="1" x14ac:dyDescent="0.25">
      <c r="A56" s="294"/>
      <c r="B56" s="295"/>
      <c r="C56" s="296" t="s">
        <v>305</v>
      </c>
      <c r="D56" s="291" t="s">
        <v>304</v>
      </c>
      <c r="E56" s="291">
        <v>56</v>
      </c>
      <c r="F56" s="299">
        <v>2500</v>
      </c>
      <c r="G56" s="263">
        <f t="shared" si="0"/>
        <v>140000</v>
      </c>
      <c r="H56" s="247"/>
      <c r="I56" s="247"/>
      <c r="J56" s="247"/>
      <c r="K56" s="247"/>
      <c r="L56" s="247"/>
      <c r="M56" s="247"/>
      <c r="N56" s="247"/>
      <c r="O56" s="247"/>
      <c r="P56" s="247"/>
      <c r="Q56" s="247"/>
      <c r="R56" s="247"/>
      <c r="S56" s="247"/>
      <c r="T56" s="247"/>
      <c r="U56" s="247"/>
      <c r="V56" s="247"/>
      <c r="W56" s="247"/>
      <c r="X56" s="247"/>
      <c r="Y56" s="247"/>
      <c r="Z56" s="247"/>
      <c r="AA56" s="247"/>
      <c r="AB56" s="247"/>
      <c r="AC56" s="247"/>
      <c r="AD56" s="247"/>
      <c r="AE56" s="247"/>
      <c r="AF56" s="247"/>
      <c r="AG56" s="247"/>
      <c r="AH56" s="247"/>
      <c r="AI56" s="247"/>
      <c r="AJ56" s="247"/>
      <c r="AK56" s="247"/>
      <c r="AL56" s="247"/>
      <c r="AM56" s="247"/>
      <c r="AN56" s="247"/>
      <c r="AO56" s="247"/>
      <c r="AP56" s="247"/>
      <c r="AQ56" s="247"/>
      <c r="AR56" s="247"/>
      <c r="AS56" s="247"/>
      <c r="AT56" s="247"/>
      <c r="AU56" s="247"/>
      <c r="AV56" s="247"/>
      <c r="AW56" s="247"/>
      <c r="AX56" s="247"/>
      <c r="AY56" s="247"/>
      <c r="AZ56" s="247"/>
      <c r="BA56" s="247"/>
      <c r="BB56" s="247"/>
      <c r="BC56" s="247"/>
      <c r="BD56" s="247"/>
      <c r="BE56" s="247"/>
    </row>
    <row r="57" spans="1:57" s="298" customFormat="1" ht="19.5" customHeight="1" x14ac:dyDescent="0.2">
      <c r="A57" s="284" t="s">
        <v>306</v>
      </c>
      <c r="B57" s="285"/>
      <c r="C57" s="286" t="s">
        <v>307</v>
      </c>
      <c r="D57" s="287"/>
      <c r="E57" s="288"/>
      <c r="F57" s="288"/>
      <c r="G57" s="289">
        <f>SUM(G58:G60)</f>
        <v>3195</v>
      </c>
      <c r="H57" s="247"/>
      <c r="I57" s="247"/>
      <c r="J57" s="247"/>
      <c r="K57" s="247"/>
      <c r="L57" s="247"/>
      <c r="M57" s="247"/>
      <c r="N57" s="247"/>
      <c r="O57" s="247"/>
      <c r="P57" s="247"/>
      <c r="Q57" s="247"/>
      <c r="R57" s="247"/>
      <c r="S57" s="247"/>
      <c r="T57" s="247"/>
      <c r="U57" s="247"/>
      <c r="V57" s="247"/>
      <c r="W57" s="247"/>
      <c r="X57" s="247"/>
      <c r="Y57" s="247"/>
      <c r="Z57" s="247"/>
      <c r="AA57" s="247"/>
      <c r="AB57" s="247"/>
      <c r="AC57" s="247"/>
      <c r="AD57" s="247"/>
      <c r="AE57" s="247"/>
      <c r="AF57" s="247"/>
      <c r="AG57" s="247"/>
      <c r="AH57" s="247"/>
      <c r="AI57" s="247"/>
      <c r="AJ57" s="247"/>
      <c r="AK57" s="247"/>
      <c r="AL57" s="247"/>
      <c r="AM57" s="247"/>
      <c r="AN57" s="247"/>
      <c r="AO57" s="247"/>
      <c r="AP57" s="247"/>
      <c r="AQ57" s="247"/>
      <c r="AR57" s="247"/>
      <c r="AS57" s="247"/>
      <c r="AT57" s="247"/>
      <c r="AU57" s="247"/>
      <c r="AV57" s="247"/>
      <c r="AW57" s="247"/>
      <c r="AX57" s="247"/>
      <c r="AY57" s="247"/>
      <c r="AZ57" s="247"/>
      <c r="BA57" s="247"/>
      <c r="BB57" s="247"/>
      <c r="BC57" s="247"/>
      <c r="BD57" s="247"/>
      <c r="BE57" s="247"/>
    </row>
    <row r="58" spans="1:57" s="298" customFormat="1" ht="19.5" customHeight="1" x14ac:dyDescent="0.25">
      <c r="A58" s="294"/>
      <c r="B58" s="295"/>
      <c r="C58" s="296" t="s">
        <v>308</v>
      </c>
      <c r="D58" s="291" t="s">
        <v>198</v>
      </c>
      <c r="E58" s="291">
        <v>240</v>
      </c>
      <c r="F58" s="297">
        <v>12</v>
      </c>
      <c r="G58" s="263">
        <f t="shared" si="0"/>
        <v>2880</v>
      </c>
      <c r="H58" s="247"/>
      <c r="I58" s="247"/>
      <c r="J58" s="247"/>
      <c r="K58" s="247"/>
      <c r="L58" s="247"/>
      <c r="M58" s="247"/>
      <c r="N58" s="247"/>
      <c r="O58" s="247"/>
      <c r="P58" s="247"/>
      <c r="Q58" s="247"/>
      <c r="R58" s="247"/>
      <c r="S58" s="247"/>
      <c r="T58" s="247"/>
      <c r="U58" s="247"/>
      <c r="V58" s="247"/>
      <c r="W58" s="247"/>
      <c r="X58" s="247"/>
      <c r="Y58" s="247"/>
      <c r="Z58" s="247"/>
      <c r="AA58" s="247"/>
      <c r="AB58" s="247"/>
      <c r="AC58" s="247"/>
      <c r="AD58" s="247"/>
      <c r="AE58" s="247"/>
      <c r="AF58" s="247"/>
      <c r="AG58" s="247"/>
      <c r="AH58" s="247"/>
      <c r="AI58" s="247"/>
      <c r="AJ58" s="247"/>
      <c r="AK58" s="247"/>
      <c r="AL58" s="247"/>
      <c r="AM58" s="247"/>
      <c r="AN58" s="247"/>
      <c r="AO58" s="247"/>
      <c r="AP58" s="247"/>
      <c r="AQ58" s="247"/>
      <c r="AR58" s="247"/>
      <c r="AS58" s="247"/>
      <c r="AT58" s="247"/>
      <c r="AU58" s="247"/>
      <c r="AV58" s="247"/>
      <c r="AW58" s="247"/>
      <c r="AX58" s="247"/>
      <c r="AY58" s="247"/>
      <c r="AZ58" s="247"/>
      <c r="BA58" s="247"/>
      <c r="BB58" s="247"/>
      <c r="BC58" s="247"/>
      <c r="BD58" s="247"/>
      <c r="BE58" s="247"/>
    </row>
    <row r="59" spans="1:57" s="298" customFormat="1" ht="19.5" customHeight="1" x14ac:dyDescent="0.25">
      <c r="A59" s="294"/>
      <c r="B59" s="295"/>
      <c r="C59" s="296" t="s">
        <v>309</v>
      </c>
      <c r="D59" s="291" t="s">
        <v>198</v>
      </c>
      <c r="E59" s="291">
        <v>55</v>
      </c>
      <c r="F59" s="297">
        <v>5</v>
      </c>
      <c r="G59" s="263">
        <f t="shared" si="0"/>
        <v>275</v>
      </c>
      <c r="H59" s="247"/>
      <c r="I59" s="247"/>
      <c r="J59" s="247"/>
      <c r="K59" s="247"/>
      <c r="L59" s="247"/>
      <c r="M59" s="247"/>
      <c r="N59" s="247"/>
      <c r="O59" s="247"/>
      <c r="P59" s="247"/>
      <c r="Q59" s="247"/>
      <c r="R59" s="247"/>
      <c r="S59" s="247"/>
      <c r="T59" s="247"/>
      <c r="U59" s="247"/>
      <c r="V59" s="247"/>
      <c r="W59" s="247"/>
      <c r="X59" s="247"/>
      <c r="Y59" s="247"/>
      <c r="Z59" s="247"/>
      <c r="AA59" s="247"/>
      <c r="AB59" s="247"/>
      <c r="AC59" s="247"/>
      <c r="AD59" s="247"/>
      <c r="AE59" s="247"/>
      <c r="AF59" s="247"/>
      <c r="AG59" s="247"/>
      <c r="AH59" s="247"/>
      <c r="AI59" s="247"/>
      <c r="AJ59" s="247"/>
      <c r="AK59" s="247"/>
      <c r="AL59" s="247"/>
      <c r="AM59" s="247"/>
      <c r="AN59" s="247"/>
      <c r="AO59" s="247"/>
      <c r="AP59" s="247"/>
      <c r="AQ59" s="247"/>
      <c r="AR59" s="247"/>
      <c r="AS59" s="247"/>
      <c r="AT59" s="247"/>
      <c r="AU59" s="247"/>
      <c r="AV59" s="247"/>
      <c r="AW59" s="247"/>
      <c r="AX59" s="247"/>
      <c r="AY59" s="247"/>
      <c r="AZ59" s="247"/>
      <c r="BA59" s="247"/>
      <c r="BB59" s="247"/>
      <c r="BC59" s="247"/>
      <c r="BD59" s="247"/>
      <c r="BE59" s="247"/>
    </row>
    <row r="60" spans="1:57" s="298" customFormat="1" ht="19.5" customHeight="1" x14ac:dyDescent="0.25">
      <c r="A60" s="294"/>
      <c r="B60" s="295"/>
      <c r="C60" s="296" t="s">
        <v>310</v>
      </c>
      <c r="D60" s="291" t="s">
        <v>198</v>
      </c>
      <c r="E60" s="291">
        <v>5</v>
      </c>
      <c r="F60" s="297">
        <v>8</v>
      </c>
      <c r="G60" s="263">
        <f t="shared" si="0"/>
        <v>40</v>
      </c>
      <c r="H60" s="247"/>
      <c r="I60" s="247"/>
      <c r="J60" s="247"/>
      <c r="K60" s="247"/>
      <c r="L60" s="247"/>
      <c r="M60" s="247"/>
      <c r="N60" s="247"/>
      <c r="O60" s="247"/>
      <c r="P60" s="247"/>
      <c r="Q60" s="247"/>
      <c r="R60" s="247"/>
      <c r="S60" s="247"/>
      <c r="T60" s="247"/>
      <c r="U60" s="247"/>
      <c r="V60" s="247"/>
      <c r="W60" s="247"/>
      <c r="X60" s="247"/>
      <c r="Y60" s="247"/>
      <c r="Z60" s="247"/>
      <c r="AA60" s="247"/>
      <c r="AB60" s="247"/>
      <c r="AC60" s="247"/>
      <c r="AD60" s="247"/>
      <c r="AE60" s="247"/>
      <c r="AF60" s="247"/>
      <c r="AG60" s="247"/>
      <c r="AH60" s="247"/>
      <c r="AI60" s="247"/>
      <c r="AJ60" s="247"/>
      <c r="AK60" s="247"/>
      <c r="AL60" s="247"/>
      <c r="AM60" s="247"/>
      <c r="AN60" s="247"/>
      <c r="AO60" s="247"/>
      <c r="AP60" s="247"/>
      <c r="AQ60" s="247"/>
      <c r="AR60" s="247"/>
      <c r="AS60" s="247"/>
      <c r="AT60" s="247"/>
      <c r="AU60" s="247"/>
      <c r="AV60" s="247"/>
      <c r="AW60" s="247"/>
      <c r="AX60" s="247"/>
      <c r="AY60" s="247"/>
      <c r="AZ60" s="247"/>
      <c r="BA60" s="247"/>
      <c r="BB60" s="247"/>
      <c r="BC60" s="247"/>
      <c r="BD60" s="247"/>
      <c r="BE60" s="247"/>
    </row>
    <row r="61" spans="1:57" s="247" customFormat="1" ht="15.75" x14ac:dyDescent="0.2">
      <c r="A61" s="301" t="s">
        <v>204</v>
      </c>
      <c r="B61" s="267"/>
      <c r="C61" s="302" t="s">
        <v>205</v>
      </c>
      <c r="D61" s="277"/>
      <c r="E61" s="277"/>
      <c r="F61" s="277"/>
      <c r="G61" s="256">
        <f>G62+G67+G69+G73+G77</f>
        <v>1401128</v>
      </c>
      <c r="I61" s="283"/>
    </row>
    <row r="62" spans="1:57" s="245" customFormat="1" ht="15.75" x14ac:dyDescent="0.25">
      <c r="A62" s="303" t="s">
        <v>206</v>
      </c>
      <c r="B62" s="267"/>
      <c r="C62" s="304" t="s">
        <v>265</v>
      </c>
      <c r="D62" s="267"/>
      <c r="E62" s="267"/>
      <c r="F62" s="267"/>
      <c r="G62" s="305">
        <f>SUM(G63:G66)</f>
        <v>7550</v>
      </c>
    </row>
    <row r="63" spans="1:57" s="245" customFormat="1" ht="31.5" x14ac:dyDescent="0.25">
      <c r="A63" s="306"/>
      <c r="B63" s="291"/>
      <c r="C63" s="279" t="s">
        <v>207</v>
      </c>
      <c r="D63" s="291" t="s">
        <v>208</v>
      </c>
      <c r="E63" s="291">
        <v>5</v>
      </c>
      <c r="F63" s="297">
        <v>380</v>
      </c>
      <c r="G63" s="307">
        <f>E63*F63</f>
        <v>1900</v>
      </c>
    </row>
    <row r="64" spans="1:57" s="245" customFormat="1" ht="15.75" x14ac:dyDescent="0.25">
      <c r="A64" s="306"/>
      <c r="B64" s="291"/>
      <c r="C64" s="279" t="s">
        <v>311</v>
      </c>
      <c r="D64" s="291" t="s">
        <v>208</v>
      </c>
      <c r="E64" s="291">
        <v>5</v>
      </c>
      <c r="F64" s="297">
        <v>280</v>
      </c>
      <c r="G64" s="307">
        <f>E64*F64</f>
        <v>1400</v>
      </c>
    </row>
    <row r="65" spans="1:7" s="245" customFormat="1" ht="30.75" customHeight="1" x14ac:dyDescent="0.25">
      <c r="A65" s="306"/>
      <c r="B65" s="291"/>
      <c r="C65" s="279" t="s">
        <v>312</v>
      </c>
      <c r="D65" s="291" t="s">
        <v>208</v>
      </c>
      <c r="E65" s="291">
        <v>5</v>
      </c>
      <c r="F65" s="297">
        <v>500</v>
      </c>
      <c r="G65" s="307">
        <f>E65*F65</f>
        <v>2500</v>
      </c>
    </row>
    <row r="66" spans="1:7" s="245" customFormat="1" ht="15.75" x14ac:dyDescent="0.25">
      <c r="A66" s="306"/>
      <c r="B66" s="291"/>
      <c r="C66" s="279" t="s">
        <v>209</v>
      </c>
      <c r="D66" s="291" t="s">
        <v>208</v>
      </c>
      <c r="E66" s="291">
        <v>5</v>
      </c>
      <c r="F66" s="297">
        <v>350</v>
      </c>
      <c r="G66" s="307">
        <f>E66*F66</f>
        <v>1750</v>
      </c>
    </row>
    <row r="67" spans="1:7" s="245" customFormat="1" ht="15.75" x14ac:dyDescent="0.25">
      <c r="A67" s="303" t="s">
        <v>210</v>
      </c>
      <c r="B67" s="267"/>
      <c r="C67" s="304" t="s">
        <v>211</v>
      </c>
      <c r="D67" s="267"/>
      <c r="E67" s="267"/>
      <c r="F67" s="267"/>
      <c r="G67" s="305">
        <f>G68</f>
        <v>6480</v>
      </c>
    </row>
    <row r="68" spans="1:7" s="245" customFormat="1" ht="31.5" x14ac:dyDescent="0.25">
      <c r="A68" s="306"/>
      <c r="B68" s="291"/>
      <c r="C68" s="308" t="s">
        <v>212</v>
      </c>
      <c r="D68" s="291" t="s">
        <v>213</v>
      </c>
      <c r="E68" s="297">
        <v>30</v>
      </c>
      <c r="F68" s="297">
        <v>18</v>
      </c>
      <c r="G68" s="307">
        <f>F68*E68*12</f>
        <v>6480</v>
      </c>
    </row>
    <row r="69" spans="1:7" s="245" customFormat="1" ht="15.75" x14ac:dyDescent="0.25">
      <c r="A69" s="303" t="s">
        <v>214</v>
      </c>
      <c r="B69" s="267"/>
      <c r="C69" s="304" t="s">
        <v>215</v>
      </c>
      <c r="D69" s="267"/>
      <c r="E69" s="267"/>
      <c r="F69" s="267"/>
      <c r="G69" s="305">
        <f>SUM(G70:G72)</f>
        <v>8220</v>
      </c>
    </row>
    <row r="70" spans="1:7" s="245" customFormat="1" ht="16.5" customHeight="1" x14ac:dyDescent="0.25">
      <c r="A70" s="306"/>
      <c r="B70" s="291"/>
      <c r="C70" s="308" t="s">
        <v>216</v>
      </c>
      <c r="D70" s="291" t="s">
        <v>208</v>
      </c>
      <c r="E70" s="291">
        <v>3</v>
      </c>
      <c r="F70" s="297">
        <v>810</v>
      </c>
      <c r="G70" s="307">
        <f>E70*F70</f>
        <v>2430</v>
      </c>
    </row>
    <row r="71" spans="1:7" s="245" customFormat="1" ht="15.75" x14ac:dyDescent="0.25">
      <c r="A71" s="306"/>
      <c r="B71" s="291"/>
      <c r="C71" s="308" t="s">
        <v>217</v>
      </c>
      <c r="D71" s="291" t="s">
        <v>208</v>
      </c>
      <c r="E71" s="291">
        <v>3</v>
      </c>
      <c r="F71" s="297">
        <v>810</v>
      </c>
      <c r="G71" s="307">
        <f>E71*F71</f>
        <v>2430</v>
      </c>
    </row>
    <row r="72" spans="1:7" s="245" customFormat="1" ht="15.75" x14ac:dyDescent="0.25">
      <c r="A72" s="306"/>
      <c r="B72" s="291"/>
      <c r="C72" s="308" t="s">
        <v>218</v>
      </c>
      <c r="D72" s="291" t="s">
        <v>208</v>
      </c>
      <c r="E72" s="291">
        <v>3</v>
      </c>
      <c r="F72" s="299">
        <v>1120</v>
      </c>
      <c r="G72" s="307">
        <f>E72*F72</f>
        <v>3360</v>
      </c>
    </row>
    <row r="73" spans="1:7" s="245" customFormat="1" ht="15.75" x14ac:dyDescent="0.25">
      <c r="A73" s="303" t="s">
        <v>219</v>
      </c>
      <c r="B73" s="267"/>
      <c r="C73" s="304" t="s">
        <v>220</v>
      </c>
      <c r="D73" s="267"/>
      <c r="E73" s="267"/>
      <c r="F73" s="267"/>
      <c r="G73" s="305">
        <f>SUM(G74:G76)</f>
        <v>10518</v>
      </c>
    </row>
    <row r="74" spans="1:7" s="245" customFormat="1" ht="31.5" x14ac:dyDescent="0.25">
      <c r="A74" s="306"/>
      <c r="B74" s="291"/>
      <c r="C74" s="308" t="s">
        <v>313</v>
      </c>
      <c r="D74" s="291" t="s">
        <v>221</v>
      </c>
      <c r="E74" s="291">
        <v>12</v>
      </c>
      <c r="F74" s="297">
        <v>809</v>
      </c>
      <c r="G74" s="307">
        <f>E74*F74</f>
        <v>9708</v>
      </c>
    </row>
    <row r="75" spans="1:7" s="245" customFormat="1" ht="15.75" x14ac:dyDescent="0.25">
      <c r="A75" s="306"/>
      <c r="B75" s="291"/>
      <c r="C75" s="308" t="s">
        <v>314</v>
      </c>
      <c r="D75" s="291" t="s">
        <v>221</v>
      </c>
      <c r="E75" s="291">
        <v>12</v>
      </c>
      <c r="F75" s="297">
        <v>30</v>
      </c>
      <c r="G75" s="307">
        <f>E75*F75</f>
        <v>360</v>
      </c>
    </row>
    <row r="76" spans="1:7" s="245" customFormat="1" ht="15.75" x14ac:dyDescent="0.25">
      <c r="A76" s="306"/>
      <c r="B76" s="291"/>
      <c r="C76" s="308" t="s">
        <v>222</v>
      </c>
      <c r="D76" s="291" t="s">
        <v>208</v>
      </c>
      <c r="E76" s="291">
        <v>3</v>
      </c>
      <c r="F76" s="297">
        <v>150</v>
      </c>
      <c r="G76" s="307">
        <f>E76*F76</f>
        <v>450</v>
      </c>
    </row>
    <row r="77" spans="1:7" s="245" customFormat="1" ht="15.75" x14ac:dyDescent="0.25">
      <c r="A77" s="303" t="s">
        <v>417</v>
      </c>
      <c r="B77" s="267"/>
      <c r="C77" s="304" t="s">
        <v>418</v>
      </c>
      <c r="D77" s="267"/>
      <c r="E77" s="267"/>
      <c r="F77" s="512">
        <v>114030</v>
      </c>
      <c r="G77" s="305">
        <f>SUM(G78:G80)</f>
        <v>1368360</v>
      </c>
    </row>
    <row r="78" spans="1:7" s="522" customFormat="1" ht="31.5" x14ac:dyDescent="0.25">
      <c r="A78" s="519"/>
      <c r="B78" s="520"/>
      <c r="C78" s="518" t="s">
        <v>419</v>
      </c>
      <c r="D78" s="291" t="s">
        <v>208</v>
      </c>
      <c r="E78" s="520">
        <v>12</v>
      </c>
      <c r="F78" s="521">
        <v>7330</v>
      </c>
      <c r="G78" s="523">
        <f>E78*F78</f>
        <v>87960</v>
      </c>
    </row>
    <row r="79" spans="1:7" s="522" customFormat="1" ht="17.25" customHeight="1" x14ac:dyDescent="0.25">
      <c r="A79" s="519"/>
      <c r="B79" s="520"/>
      <c r="C79" s="518" t="s">
        <v>420</v>
      </c>
      <c r="D79" s="291" t="s">
        <v>208</v>
      </c>
      <c r="E79" s="520">
        <v>12</v>
      </c>
      <c r="F79" s="521">
        <v>69200</v>
      </c>
      <c r="G79" s="523">
        <f t="shared" ref="G79:G80" si="1">E79*F79</f>
        <v>830400</v>
      </c>
    </row>
    <row r="80" spans="1:7" s="522" customFormat="1" ht="15.75" x14ac:dyDescent="0.25">
      <c r="A80" s="519"/>
      <c r="B80" s="520"/>
      <c r="C80" s="518" t="s">
        <v>421</v>
      </c>
      <c r="D80" s="291" t="s">
        <v>208</v>
      </c>
      <c r="E80" s="520">
        <v>12</v>
      </c>
      <c r="F80" s="521">
        <v>37500</v>
      </c>
      <c r="G80" s="523">
        <f t="shared" si="1"/>
        <v>450000</v>
      </c>
    </row>
    <row r="81" spans="1:47" s="311" customFormat="1" ht="30.75" customHeight="1" x14ac:dyDescent="0.2">
      <c r="A81" s="301" t="s">
        <v>315</v>
      </c>
      <c r="B81" s="267"/>
      <c r="C81" s="309" t="s">
        <v>223</v>
      </c>
      <c r="D81" s="276"/>
      <c r="E81" s="277"/>
      <c r="F81" s="277"/>
      <c r="G81" s="256">
        <f>G82</f>
        <v>14951.003006250001</v>
      </c>
      <c r="H81" s="310"/>
      <c r="I81" s="598"/>
      <c r="J81" s="598"/>
      <c r="K81" s="598"/>
      <c r="L81" s="598"/>
      <c r="M81" s="598"/>
      <c r="N81" s="598"/>
      <c r="O81" s="310"/>
      <c r="P81" s="310"/>
      <c r="Q81" s="310"/>
      <c r="R81" s="310"/>
      <c r="S81" s="310"/>
      <c r="T81" s="310"/>
      <c r="U81" s="310"/>
      <c r="V81" s="310"/>
      <c r="W81" s="310"/>
      <c r="X81" s="310"/>
      <c r="Y81" s="310"/>
      <c r="Z81" s="310"/>
      <c r="AA81" s="310"/>
      <c r="AB81" s="310"/>
      <c r="AC81" s="310"/>
      <c r="AD81" s="310"/>
      <c r="AE81" s="310"/>
      <c r="AF81" s="310"/>
      <c r="AG81" s="310"/>
      <c r="AH81" s="310"/>
      <c r="AI81" s="310"/>
      <c r="AJ81" s="310"/>
      <c r="AK81" s="310"/>
      <c r="AL81" s="310"/>
      <c r="AM81" s="310"/>
      <c r="AN81" s="310"/>
      <c r="AO81" s="310"/>
      <c r="AP81" s="310"/>
      <c r="AQ81" s="310"/>
      <c r="AR81" s="310"/>
      <c r="AS81" s="310"/>
      <c r="AT81" s="310"/>
      <c r="AU81" s="310"/>
    </row>
    <row r="82" spans="1:47" s="245" customFormat="1" ht="15.75" x14ac:dyDescent="0.25">
      <c r="A82" s="312" t="s">
        <v>224</v>
      </c>
      <c r="B82" s="267"/>
      <c r="C82" s="313" t="s">
        <v>225</v>
      </c>
      <c r="D82" s="314"/>
      <c r="E82" s="314"/>
      <c r="F82" s="315"/>
      <c r="G82" s="316">
        <f>SUM(G83:G84)</f>
        <v>14951.003006250001</v>
      </c>
    </row>
    <row r="83" spans="1:47" s="245" customFormat="1" ht="15.75" x14ac:dyDescent="0.25">
      <c r="A83" s="317"/>
      <c r="B83" s="318"/>
      <c r="C83" s="319" t="s">
        <v>226</v>
      </c>
      <c r="D83" s="320" t="s">
        <v>227</v>
      </c>
      <c r="E83" s="320">
        <v>2.5030000000000001</v>
      </c>
      <c r="F83" s="321">
        <f>5195.15*1.125</f>
        <v>5844.5437499999998</v>
      </c>
      <c r="G83" s="322">
        <f>F83*E83+0.11</f>
        <v>14629.003006250001</v>
      </c>
    </row>
    <row r="84" spans="1:47" s="245" customFormat="1" ht="15.75" x14ac:dyDescent="0.25">
      <c r="A84" s="317"/>
      <c r="B84" s="318"/>
      <c r="C84" s="319" t="s">
        <v>316</v>
      </c>
      <c r="D84" s="291" t="s">
        <v>221</v>
      </c>
      <c r="E84" s="291">
        <v>12</v>
      </c>
      <c r="F84" s="323">
        <f>23.86*1.125</f>
        <v>26.842500000000001</v>
      </c>
      <c r="G84" s="307">
        <f>E84*F84-0.11</f>
        <v>322</v>
      </c>
    </row>
    <row r="85" spans="1:47" s="241" customFormat="1" ht="21" thickBot="1" x14ac:dyDescent="0.35">
      <c r="A85" s="324"/>
      <c r="B85" s="325"/>
      <c r="C85" s="326" t="s">
        <v>228</v>
      </c>
      <c r="D85" s="327"/>
      <c r="E85" s="327"/>
      <c r="F85" s="327"/>
      <c r="G85" s="328">
        <f>G20+G27+G32+G61+G81</f>
        <v>21998360.00300625</v>
      </c>
      <c r="H85" s="329"/>
    </row>
    <row r="86" spans="1:47" s="241" customFormat="1" ht="20.25" x14ac:dyDescent="0.3">
      <c r="B86" s="330"/>
      <c r="C86" s="331"/>
      <c r="G86" s="332"/>
      <c r="H86" s="329"/>
    </row>
    <row r="87" spans="1:47" ht="17.25" x14ac:dyDescent="0.3">
      <c r="B87" s="333"/>
      <c r="C87" s="229"/>
      <c r="D87" s="334"/>
      <c r="E87" s="334"/>
      <c r="F87" s="334"/>
      <c r="G87" s="335"/>
    </row>
    <row r="88" spans="1:47" s="241" customFormat="1" ht="18.75" customHeight="1" x14ac:dyDescent="0.3">
      <c r="A88" s="599" t="s">
        <v>229</v>
      </c>
      <c r="B88" s="599"/>
      <c r="C88" s="599"/>
      <c r="D88" s="336" t="s">
        <v>230</v>
      </c>
      <c r="E88" s="336"/>
      <c r="F88" s="337"/>
      <c r="G88" s="337"/>
    </row>
    <row r="89" spans="1:47" s="241" customFormat="1" ht="18.75" customHeight="1" x14ac:dyDescent="0.3">
      <c r="A89" s="338"/>
      <c r="B89" s="338"/>
      <c r="C89" s="338"/>
      <c r="D89" s="336"/>
      <c r="E89" s="336"/>
      <c r="F89" s="337"/>
      <c r="G89" s="337"/>
    </row>
    <row r="90" spans="1:47" s="241" customFormat="1" ht="18.75" customHeight="1" x14ac:dyDescent="0.3">
      <c r="A90" s="338"/>
      <c r="B90" s="338"/>
      <c r="C90" s="338"/>
      <c r="D90" s="336"/>
      <c r="E90" s="336"/>
      <c r="F90" s="337"/>
      <c r="G90" s="337"/>
    </row>
    <row r="91" spans="1:47" s="241" customFormat="1" ht="18.75" customHeight="1" x14ac:dyDescent="0.3">
      <c r="A91" s="339" t="s">
        <v>231</v>
      </c>
      <c r="B91" s="338"/>
      <c r="C91" s="338"/>
      <c r="D91" s="336" t="s">
        <v>317</v>
      </c>
      <c r="E91" s="336"/>
      <c r="F91" s="337"/>
      <c r="G91" s="337"/>
    </row>
    <row r="92" spans="1:47" s="241" customFormat="1" ht="18.75" customHeight="1" x14ac:dyDescent="0.3">
      <c r="A92" s="339"/>
      <c r="B92" s="338"/>
      <c r="C92" s="338"/>
      <c r="D92" s="336"/>
      <c r="E92" s="336"/>
      <c r="F92" s="337"/>
      <c r="G92" s="337"/>
    </row>
    <row r="93" spans="1:47" s="241" customFormat="1" ht="20.25" x14ac:dyDescent="0.3">
      <c r="B93" s="339"/>
      <c r="C93" s="600"/>
      <c r="D93" s="600"/>
      <c r="E93" s="340"/>
      <c r="F93" s="341"/>
      <c r="G93" s="342"/>
    </row>
    <row r="94" spans="1:47" s="241" customFormat="1" ht="20.25" x14ac:dyDescent="0.3">
      <c r="A94" s="339" t="s">
        <v>232</v>
      </c>
      <c r="B94" s="339"/>
      <c r="C94" s="336"/>
      <c r="D94" s="336" t="s">
        <v>318</v>
      </c>
      <c r="E94" s="336"/>
      <c r="F94" s="337"/>
      <c r="G94" s="337"/>
    </row>
    <row r="95" spans="1:47" x14ac:dyDescent="0.25">
      <c r="E95" s="340"/>
      <c r="F95" s="239"/>
      <c r="G95" s="239"/>
    </row>
  </sheetData>
  <protectedRanges>
    <protectedRange sqref="C94 E94" name="Диапазон1_1_2"/>
    <protectedRange sqref="D93 E88:E92" name="Диапазон1_1_3"/>
    <protectedRange sqref="D88:D92" name="Диапазон1_1_3_1"/>
    <protectedRange sqref="D94" name="Диапазон1_1_2_1"/>
  </protectedRanges>
  <mergeCells count="26">
    <mergeCell ref="I81:N81"/>
    <mergeCell ref="A88:C88"/>
    <mergeCell ref="C93:D93"/>
    <mergeCell ref="G17:G18"/>
    <mergeCell ref="A29:G29"/>
    <mergeCell ref="A30:A31"/>
    <mergeCell ref="B30:B31"/>
    <mergeCell ref="C30:C31"/>
    <mergeCell ref="D30:D31"/>
    <mergeCell ref="E30:E31"/>
    <mergeCell ref="F30:F31"/>
    <mergeCell ref="G30:G31"/>
    <mergeCell ref="A14:G14"/>
    <mergeCell ref="A16:G16"/>
    <mergeCell ref="A17:A18"/>
    <mergeCell ref="B17:B18"/>
    <mergeCell ref="C17:C18"/>
    <mergeCell ref="D17:D18"/>
    <mergeCell ref="E17:E18"/>
    <mergeCell ref="F17:F18"/>
    <mergeCell ref="A13:G13"/>
    <mergeCell ref="D5:F5"/>
    <mergeCell ref="D6:F6"/>
    <mergeCell ref="F7:G7"/>
    <mergeCell ref="D8:E8"/>
    <mergeCell ref="F8:G8"/>
  </mergeCells>
  <printOptions horizontalCentered="1"/>
  <pageMargins left="1.1811023622047245" right="0.39370078740157483" top="0.78740157480314965" bottom="0.78740157480314965" header="0.31496062992125984" footer="0.31496062992125984"/>
  <pageSetup paperSize="9" scale="64" orientation="portrait" r:id="rId1"/>
  <headerFooter alignWithMargins="0"/>
  <rowBreaks count="1" manualBreakCount="1">
    <brk id="60" max="6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6" tint="-0.249977111117893"/>
  </sheetPr>
  <dimension ref="A1:Q36"/>
  <sheetViews>
    <sheetView view="pageBreakPreview" topLeftCell="A7" zoomScale="96" zoomScaleSheetLayoutView="96" workbookViewId="0">
      <selection activeCell="A7" sqref="A7:XFD7"/>
    </sheetView>
  </sheetViews>
  <sheetFormatPr defaultColWidth="8.85546875" defaultRowHeight="15" x14ac:dyDescent="0.25"/>
  <cols>
    <col min="1" max="1" width="21.5703125" style="343" customWidth="1"/>
    <col min="2" max="2" width="10.7109375" style="343" customWidth="1"/>
    <col min="3" max="3" width="8.85546875" style="343"/>
    <col min="4" max="4" width="12.7109375" style="343" customWidth="1"/>
    <col min="5" max="5" width="8.85546875" style="343"/>
    <col min="6" max="6" width="11.42578125" style="343" customWidth="1"/>
    <col min="7" max="7" width="14.42578125" style="343" customWidth="1"/>
    <col min="8" max="8" width="9.140625" style="343" bestFit="1" customWidth="1"/>
    <col min="9" max="9" width="16.5703125" style="343" customWidth="1"/>
    <col min="10" max="10" width="14.7109375" style="343" customWidth="1"/>
    <col min="11" max="11" width="9.140625" style="343" customWidth="1"/>
    <col min="12" max="12" width="13.42578125" style="343" customWidth="1"/>
    <col min="13" max="13" width="16.28515625" style="343" customWidth="1"/>
    <col min="14" max="14" width="18.7109375" style="343" customWidth="1"/>
    <col min="15" max="15" width="17.5703125" style="343" customWidth="1"/>
    <col min="16" max="16" width="15.5703125" style="343" customWidth="1"/>
    <col min="17" max="17" width="19.7109375" style="343" customWidth="1"/>
    <col min="18" max="16384" width="8.85546875" style="343"/>
  </cols>
  <sheetData>
    <row r="1" spans="1:17" ht="18.75" hidden="1" x14ac:dyDescent="0.3">
      <c r="A1" s="631" t="s">
        <v>320</v>
      </c>
      <c r="B1" s="631"/>
      <c r="C1" s="631"/>
      <c r="N1" s="344" t="s">
        <v>321</v>
      </c>
    </row>
    <row r="2" spans="1:17" ht="18.75" hidden="1" x14ac:dyDescent="0.3">
      <c r="A2" s="345" t="s">
        <v>322</v>
      </c>
      <c r="B2" s="345"/>
      <c r="C2" s="345"/>
      <c r="D2" s="346"/>
      <c r="E2" s="346"/>
      <c r="F2" s="346"/>
      <c r="G2" s="346"/>
      <c r="N2" s="632" t="s">
        <v>323</v>
      </c>
      <c r="O2" s="632"/>
      <c r="P2" s="632"/>
      <c r="Q2" s="632"/>
    </row>
    <row r="3" spans="1:17" ht="15.75" hidden="1" x14ac:dyDescent="0.25">
      <c r="A3" s="633" t="s">
        <v>164</v>
      </c>
      <c r="B3" s="633"/>
      <c r="C3" s="633"/>
      <c r="N3" s="634" t="s">
        <v>164</v>
      </c>
      <c r="O3" s="634"/>
      <c r="P3" s="634"/>
      <c r="Q3" s="634"/>
    </row>
    <row r="4" spans="1:17" ht="18.75" hidden="1" x14ac:dyDescent="0.3">
      <c r="A4" s="635" t="s">
        <v>324</v>
      </c>
      <c r="B4" s="635"/>
      <c r="C4" s="635"/>
      <c r="D4" s="635"/>
      <c r="E4" s="635"/>
      <c r="F4" s="635"/>
      <c r="G4" s="635"/>
      <c r="N4" s="636" t="s">
        <v>325</v>
      </c>
      <c r="O4" s="636"/>
      <c r="P4" s="636"/>
      <c r="Q4" s="636"/>
    </row>
    <row r="5" spans="1:17" ht="18.75" hidden="1" x14ac:dyDescent="0.3">
      <c r="A5" s="626" t="s">
        <v>166</v>
      </c>
      <c r="B5" s="626"/>
      <c r="C5" s="347"/>
      <c r="N5" s="348" t="s">
        <v>166</v>
      </c>
      <c r="O5" s="349"/>
      <c r="P5" s="349"/>
      <c r="Q5" s="349"/>
    </row>
    <row r="6" spans="1:17" ht="18.75" hidden="1" x14ac:dyDescent="0.3">
      <c r="A6" s="347" t="s">
        <v>170</v>
      </c>
      <c r="B6" s="350" t="s">
        <v>326</v>
      </c>
      <c r="C6" s="347" t="s">
        <v>327</v>
      </c>
      <c r="N6" s="351" t="s">
        <v>170</v>
      </c>
      <c r="O6" s="352"/>
      <c r="P6" s="353"/>
      <c r="Q6" s="354" t="s">
        <v>328</v>
      </c>
    </row>
    <row r="7" spans="1:17" ht="22.5" customHeight="1" x14ac:dyDescent="0.25">
      <c r="A7" s="627" t="s">
        <v>380</v>
      </c>
      <c r="B7" s="627"/>
      <c r="C7" s="627"/>
      <c r="D7" s="627"/>
      <c r="E7" s="627"/>
      <c r="F7" s="627"/>
      <c r="G7" s="627"/>
      <c r="H7" s="627"/>
      <c r="I7" s="627"/>
      <c r="J7" s="627"/>
      <c r="K7" s="627"/>
      <c r="L7" s="627"/>
      <c r="M7" s="627"/>
      <c r="N7" s="627"/>
      <c r="O7" s="627"/>
      <c r="P7" s="627"/>
      <c r="Q7" s="627"/>
    </row>
    <row r="8" spans="1:17" ht="23.25" x14ac:dyDescent="0.25">
      <c r="A8" s="628" t="s">
        <v>329</v>
      </c>
      <c r="B8" s="628"/>
      <c r="C8" s="628"/>
      <c r="D8" s="628"/>
      <c r="E8" s="628"/>
      <c r="F8" s="628"/>
      <c r="G8" s="628"/>
      <c r="H8" s="628"/>
      <c r="I8" s="628"/>
      <c r="J8" s="628"/>
      <c r="K8" s="628"/>
      <c r="L8" s="628"/>
      <c r="M8" s="628"/>
      <c r="N8" s="628"/>
      <c r="O8" s="628"/>
      <c r="P8" s="628"/>
      <c r="Q8" s="628"/>
    </row>
    <row r="9" spans="1:17" ht="16.5" customHeight="1" x14ac:dyDescent="0.25">
      <c r="A9" s="356" t="s">
        <v>330</v>
      </c>
      <c r="B9" s="357">
        <v>3028</v>
      </c>
      <c r="C9" s="358" t="s">
        <v>172</v>
      </c>
      <c r="D9" s="358"/>
      <c r="E9" s="358"/>
      <c r="F9" s="358"/>
      <c r="G9" s="358"/>
      <c r="H9" s="358"/>
      <c r="I9" s="358"/>
      <c r="J9" s="358"/>
      <c r="K9" s="358"/>
      <c r="L9" s="358"/>
      <c r="M9" s="358"/>
      <c r="N9" s="358"/>
      <c r="O9" s="358"/>
      <c r="P9" s="358"/>
      <c r="Q9" s="356"/>
    </row>
    <row r="10" spans="1:17" ht="62.45" customHeight="1" x14ac:dyDescent="0.25">
      <c r="A10" s="611" t="s">
        <v>331</v>
      </c>
      <c r="B10" s="611" t="s">
        <v>332</v>
      </c>
      <c r="C10" s="611" t="s">
        <v>333</v>
      </c>
      <c r="D10" s="629" t="s">
        <v>334</v>
      </c>
      <c r="E10" s="629"/>
      <c r="F10" s="629"/>
      <c r="G10" s="611" t="s">
        <v>335</v>
      </c>
      <c r="H10" s="619" t="s">
        <v>336</v>
      </c>
      <c r="I10" s="620"/>
      <c r="J10" s="359" t="s">
        <v>337</v>
      </c>
      <c r="K10" s="611" t="s">
        <v>338</v>
      </c>
      <c r="L10" s="611"/>
      <c r="M10" s="611" t="s">
        <v>339</v>
      </c>
      <c r="N10" s="611" t="s">
        <v>340</v>
      </c>
      <c r="O10" s="611" t="s">
        <v>341</v>
      </c>
      <c r="P10" s="611" t="s">
        <v>342</v>
      </c>
      <c r="Q10" s="611" t="s">
        <v>343</v>
      </c>
    </row>
    <row r="11" spans="1:17" ht="78.75" x14ac:dyDescent="0.25">
      <c r="A11" s="611"/>
      <c r="B11" s="611"/>
      <c r="C11" s="611"/>
      <c r="D11" s="360" t="s">
        <v>344</v>
      </c>
      <c r="E11" s="360" t="s">
        <v>345</v>
      </c>
      <c r="F11" s="360" t="s">
        <v>346</v>
      </c>
      <c r="G11" s="611"/>
      <c r="H11" s="621"/>
      <c r="I11" s="622"/>
      <c r="J11" s="361" t="s">
        <v>347</v>
      </c>
      <c r="K11" s="611"/>
      <c r="L11" s="611"/>
      <c r="M11" s="611"/>
      <c r="N11" s="611"/>
      <c r="O11" s="611"/>
      <c r="P11" s="611"/>
      <c r="Q11" s="611"/>
    </row>
    <row r="12" spans="1:17" ht="25.5" x14ac:dyDescent="0.25">
      <c r="A12" s="612">
        <v>1</v>
      </c>
      <c r="B12" s="612">
        <v>2</v>
      </c>
      <c r="C12" s="612">
        <v>3</v>
      </c>
      <c r="D12" s="362">
        <v>4</v>
      </c>
      <c r="E12" s="362">
        <v>5</v>
      </c>
      <c r="F12" s="362">
        <v>6</v>
      </c>
      <c r="G12" s="363">
        <v>7</v>
      </c>
      <c r="H12" s="363">
        <v>8</v>
      </c>
      <c r="I12" s="363" t="s">
        <v>348</v>
      </c>
      <c r="J12" s="363">
        <v>10</v>
      </c>
      <c r="K12" s="363">
        <v>11</v>
      </c>
      <c r="L12" s="363" t="s">
        <v>349</v>
      </c>
      <c r="M12" s="363" t="s">
        <v>350</v>
      </c>
      <c r="N12" s="363" t="s">
        <v>351</v>
      </c>
      <c r="O12" s="363" t="s">
        <v>352</v>
      </c>
      <c r="P12" s="363">
        <v>16</v>
      </c>
      <c r="Q12" s="363" t="s">
        <v>353</v>
      </c>
    </row>
    <row r="13" spans="1:17" x14ac:dyDescent="0.25">
      <c r="A13" s="612"/>
      <c r="B13" s="612"/>
      <c r="C13" s="612"/>
      <c r="D13" s="362"/>
      <c r="E13" s="362"/>
      <c r="F13" s="364"/>
      <c r="G13" s="365" t="s">
        <v>172</v>
      </c>
      <c r="H13" s="363" t="s">
        <v>354</v>
      </c>
      <c r="I13" s="363" t="s">
        <v>172</v>
      </c>
      <c r="J13" s="363" t="s">
        <v>172</v>
      </c>
      <c r="K13" s="363" t="s">
        <v>354</v>
      </c>
      <c r="L13" s="363" t="s">
        <v>172</v>
      </c>
      <c r="M13" s="363" t="s">
        <v>172</v>
      </c>
      <c r="N13" s="363" t="s">
        <v>172</v>
      </c>
      <c r="O13" s="363" t="s">
        <v>172</v>
      </c>
      <c r="P13" s="363" t="s">
        <v>172</v>
      </c>
      <c r="Q13" s="363" t="s">
        <v>172</v>
      </c>
    </row>
    <row r="14" spans="1:17" ht="18.75" x14ac:dyDescent="0.25">
      <c r="A14" s="366" t="s">
        <v>355</v>
      </c>
      <c r="B14" s="367" t="s">
        <v>356</v>
      </c>
      <c r="C14" s="367">
        <v>1</v>
      </c>
      <c r="D14" s="613" t="s">
        <v>357</v>
      </c>
      <c r="E14" s="614"/>
      <c r="F14" s="615"/>
      <c r="G14" s="368">
        <v>27248</v>
      </c>
      <c r="H14" s="369"/>
      <c r="I14" s="369"/>
      <c r="J14" s="369"/>
      <c r="K14" s="369"/>
      <c r="L14" s="369"/>
      <c r="M14" s="368">
        <v>27248</v>
      </c>
      <c r="N14" s="368">
        <f>M14*C14</f>
        <v>27248</v>
      </c>
      <c r="O14" s="368">
        <f>N14*12</f>
        <v>326976</v>
      </c>
      <c r="P14" s="368">
        <f>G14*C14</f>
        <v>27248</v>
      </c>
      <c r="Q14" s="370">
        <f>O14+P14</f>
        <v>354224</v>
      </c>
    </row>
    <row r="15" spans="1:17" ht="51.6" customHeight="1" x14ac:dyDescent="0.25">
      <c r="A15" s="371" t="s">
        <v>358</v>
      </c>
      <c r="B15" s="367" t="s">
        <v>359</v>
      </c>
      <c r="C15" s="367">
        <v>1</v>
      </c>
      <c r="D15" s="372">
        <v>1.8</v>
      </c>
      <c r="E15" s="373">
        <v>1.41</v>
      </c>
      <c r="F15" s="374">
        <v>2</v>
      </c>
      <c r="G15" s="368">
        <v>15370</v>
      </c>
      <c r="H15" s="375"/>
      <c r="I15" s="376"/>
      <c r="J15" s="369"/>
      <c r="K15" s="377">
        <v>0.1</v>
      </c>
      <c r="L15" s="368">
        <f>G15*K15</f>
        <v>1537</v>
      </c>
      <c r="M15" s="368">
        <f>G15+J15+I15+L15</f>
        <v>16907</v>
      </c>
      <c r="N15" s="368">
        <f>M15*C15</f>
        <v>16907</v>
      </c>
      <c r="O15" s="368">
        <f>N15*12</f>
        <v>202884</v>
      </c>
      <c r="P15" s="368">
        <f t="shared" ref="P15:P17" si="0">G15*C15</f>
        <v>15370</v>
      </c>
      <c r="Q15" s="370">
        <f>O15+P15</f>
        <v>218254</v>
      </c>
    </row>
    <row r="16" spans="1:17" ht="32.25" customHeight="1" x14ac:dyDescent="0.25">
      <c r="A16" s="371" t="s">
        <v>232</v>
      </c>
      <c r="B16" s="367" t="s">
        <v>359</v>
      </c>
      <c r="C16" s="367">
        <v>1</v>
      </c>
      <c r="D16" s="372">
        <v>1.8</v>
      </c>
      <c r="E16" s="373">
        <v>1.41</v>
      </c>
      <c r="F16" s="374">
        <v>2</v>
      </c>
      <c r="G16" s="368">
        <v>15370</v>
      </c>
      <c r="H16" s="375"/>
      <c r="I16" s="376"/>
      <c r="J16" s="369"/>
      <c r="K16" s="377">
        <v>0.1</v>
      </c>
      <c r="L16" s="368">
        <f>G16*K16</f>
        <v>1537</v>
      </c>
      <c r="M16" s="368">
        <f>G16+J16+I16+L16</f>
        <v>16907</v>
      </c>
      <c r="N16" s="368">
        <f>M16*C16</f>
        <v>16907</v>
      </c>
      <c r="O16" s="368">
        <f>N16*12</f>
        <v>202884</v>
      </c>
      <c r="P16" s="368">
        <f t="shared" si="0"/>
        <v>15370</v>
      </c>
      <c r="Q16" s="370">
        <f>O16+P16</f>
        <v>218254</v>
      </c>
    </row>
    <row r="17" spans="1:17" ht="33" customHeight="1" x14ac:dyDescent="0.25">
      <c r="A17" s="371" t="s">
        <v>360</v>
      </c>
      <c r="B17" s="367">
        <v>2429</v>
      </c>
      <c r="C17" s="367">
        <v>1</v>
      </c>
      <c r="D17" s="372">
        <v>1.8</v>
      </c>
      <c r="E17" s="373">
        <v>1.41</v>
      </c>
      <c r="F17" s="374">
        <v>2</v>
      </c>
      <c r="G17" s="368">
        <v>15370</v>
      </c>
      <c r="H17" s="375"/>
      <c r="I17" s="376"/>
      <c r="J17" s="369"/>
      <c r="K17" s="377">
        <v>0.1</v>
      </c>
      <c r="L17" s="368">
        <f>G17*K17</f>
        <v>1537</v>
      </c>
      <c r="M17" s="368">
        <f>G17+J17+I17+L17</f>
        <v>16907</v>
      </c>
      <c r="N17" s="368">
        <f>M17*C17</f>
        <v>16907</v>
      </c>
      <c r="O17" s="368">
        <f>N17*12</f>
        <v>202884</v>
      </c>
      <c r="P17" s="368">
        <f t="shared" si="0"/>
        <v>15370</v>
      </c>
      <c r="Q17" s="370">
        <f>O17+P17</f>
        <v>218254</v>
      </c>
    </row>
    <row r="18" spans="1:17" ht="22.9" customHeight="1" x14ac:dyDescent="0.3">
      <c r="A18" s="378" t="s">
        <v>361</v>
      </c>
      <c r="B18" s="379"/>
      <c r="C18" s="380">
        <v>4</v>
      </c>
      <c r="D18" s="381"/>
      <c r="E18" s="382"/>
      <c r="F18" s="383"/>
      <c r="G18" s="384">
        <f>SUM(G14:G17)</f>
        <v>73358</v>
      </c>
      <c r="H18" s="385"/>
      <c r="I18" s="386"/>
      <c r="J18" s="387"/>
      <c r="K18" s="388"/>
      <c r="L18" s="384">
        <f>SUM(L14:L17)</f>
        <v>4611</v>
      </c>
      <c r="M18" s="384"/>
      <c r="N18" s="384">
        <f>SUM(N14:N17)</f>
        <v>77969</v>
      </c>
      <c r="O18" s="384">
        <f>SUM(O14:O17)</f>
        <v>935628</v>
      </c>
      <c r="P18" s="384">
        <f>SUM(P14:P17)</f>
        <v>73358</v>
      </c>
      <c r="Q18" s="389">
        <f>SUM(Q14:Q17)</f>
        <v>1008986</v>
      </c>
    </row>
    <row r="19" spans="1:17" ht="20.45" customHeight="1" x14ac:dyDescent="0.25">
      <c r="A19" s="616" t="s">
        <v>362</v>
      </c>
      <c r="B19" s="617"/>
      <c r="C19" s="617"/>
      <c r="D19" s="617"/>
      <c r="E19" s="617"/>
      <c r="F19" s="617"/>
      <c r="G19" s="617"/>
      <c r="H19" s="617"/>
      <c r="I19" s="617"/>
      <c r="J19" s="617"/>
      <c r="K19" s="617"/>
      <c r="L19" s="617"/>
      <c r="M19" s="617"/>
      <c r="N19" s="617"/>
      <c r="O19" s="617"/>
      <c r="P19" s="617"/>
      <c r="Q19" s="618"/>
    </row>
    <row r="20" spans="1:17" ht="30.75" customHeight="1" x14ac:dyDescent="0.25">
      <c r="A20" s="390" t="s">
        <v>363</v>
      </c>
      <c r="B20" s="391">
        <v>1235</v>
      </c>
      <c r="C20" s="391">
        <v>1</v>
      </c>
      <c r="D20" s="392">
        <v>1.8</v>
      </c>
      <c r="E20" s="393">
        <v>1.41</v>
      </c>
      <c r="F20" s="394">
        <v>2.6</v>
      </c>
      <c r="G20" s="395">
        <v>19981</v>
      </c>
      <c r="H20" s="396" t="s">
        <v>364</v>
      </c>
      <c r="I20" s="395">
        <v>4995.25</v>
      </c>
      <c r="J20" s="397"/>
      <c r="K20" s="398">
        <v>0.1</v>
      </c>
      <c r="L20" s="395">
        <f>G20*K20</f>
        <v>1998.1000000000001</v>
      </c>
      <c r="M20" s="395">
        <f>G20+J20+L20+I20</f>
        <v>26974.35</v>
      </c>
      <c r="N20" s="395">
        <f>M20*C20</f>
        <v>26974.35</v>
      </c>
      <c r="O20" s="368">
        <f>N20*12</f>
        <v>323692.19999999995</v>
      </c>
      <c r="P20" s="368">
        <f t="shared" ref="P20:P21" si="1">G20*C20</f>
        <v>19981</v>
      </c>
      <c r="Q20" s="389">
        <f>O20+P20</f>
        <v>343673.19999999995</v>
      </c>
    </row>
    <row r="21" spans="1:17" ht="32.25" customHeight="1" x14ac:dyDescent="0.25">
      <c r="A21" s="378" t="s">
        <v>365</v>
      </c>
      <c r="B21" s="391">
        <v>3439</v>
      </c>
      <c r="C21" s="391">
        <v>3</v>
      </c>
      <c r="D21" s="392">
        <v>1.8</v>
      </c>
      <c r="E21" s="393">
        <v>1.41</v>
      </c>
      <c r="F21" s="394">
        <v>1.9</v>
      </c>
      <c r="G21" s="395">
        <v>14602</v>
      </c>
      <c r="H21" s="396" t="s">
        <v>364</v>
      </c>
      <c r="I21" s="395">
        <v>3650.5</v>
      </c>
      <c r="J21" s="395"/>
      <c r="K21" s="399">
        <v>0.1</v>
      </c>
      <c r="L21" s="395">
        <f>G21*K21</f>
        <v>1460.2</v>
      </c>
      <c r="M21" s="395">
        <f>G21+J21+L21+I21</f>
        <v>19712.7</v>
      </c>
      <c r="N21" s="395">
        <f>M21*C21</f>
        <v>59138.100000000006</v>
      </c>
      <c r="O21" s="368">
        <f>N21*12</f>
        <v>709657.20000000007</v>
      </c>
      <c r="P21" s="368">
        <f t="shared" si="1"/>
        <v>43806</v>
      </c>
      <c r="Q21" s="389">
        <f>O21+P21</f>
        <v>753463.20000000007</v>
      </c>
    </row>
    <row r="22" spans="1:17" ht="48" customHeight="1" x14ac:dyDescent="0.3">
      <c r="A22" s="378" t="s">
        <v>366</v>
      </c>
      <c r="B22" s="379"/>
      <c r="C22" s="380">
        <f>SUM(C20:C21)</f>
        <v>4</v>
      </c>
      <c r="D22" s="381"/>
      <c r="E22" s="382"/>
      <c r="F22" s="383"/>
      <c r="G22" s="384">
        <f>G20+G21*$C$21</f>
        <v>63787</v>
      </c>
      <c r="H22" s="385"/>
      <c r="I22" s="384">
        <f>I20+I21*$C$21</f>
        <v>15946.75</v>
      </c>
      <c r="J22" s="384"/>
      <c r="K22" s="388"/>
      <c r="L22" s="384">
        <f>L20+L21*$C$21</f>
        <v>6378.7000000000007</v>
      </c>
      <c r="M22" s="384"/>
      <c r="N22" s="384">
        <f>SUM(N20:N21)</f>
        <v>86112.450000000012</v>
      </c>
      <c r="O22" s="384">
        <f>SUM(O20:O21)</f>
        <v>1033349.4</v>
      </c>
      <c r="P22" s="384">
        <f>SUM(P20:P21)</f>
        <v>63787</v>
      </c>
      <c r="Q22" s="389">
        <f>SUM(Q20:Q21)</f>
        <v>1097136.3999999999</v>
      </c>
    </row>
    <row r="23" spans="1:17" ht="20.45" customHeight="1" x14ac:dyDescent="0.25">
      <c r="A23" s="616" t="s">
        <v>367</v>
      </c>
      <c r="B23" s="617"/>
      <c r="C23" s="617"/>
      <c r="D23" s="617"/>
      <c r="E23" s="617"/>
      <c r="F23" s="617"/>
      <c r="G23" s="617"/>
      <c r="H23" s="617"/>
      <c r="I23" s="617"/>
      <c r="J23" s="617"/>
      <c r="K23" s="617"/>
      <c r="L23" s="617"/>
      <c r="M23" s="617"/>
      <c r="N23" s="617"/>
      <c r="O23" s="617"/>
      <c r="P23" s="617"/>
      <c r="Q23" s="618"/>
    </row>
    <row r="24" spans="1:17" ht="30.75" customHeight="1" x14ac:dyDescent="0.25">
      <c r="A24" s="378" t="s">
        <v>368</v>
      </c>
      <c r="B24" s="391">
        <v>1235</v>
      </c>
      <c r="C24" s="391">
        <v>1</v>
      </c>
      <c r="D24" s="392">
        <v>1.8</v>
      </c>
      <c r="E24" s="393">
        <v>1.41</v>
      </c>
      <c r="F24" s="394">
        <v>2.6</v>
      </c>
      <c r="G24" s="395">
        <v>19981</v>
      </c>
      <c r="H24" s="396" t="s">
        <v>364</v>
      </c>
      <c r="I24" s="395">
        <v>4995.25</v>
      </c>
      <c r="J24" s="395"/>
      <c r="K24" s="399">
        <v>0.1</v>
      </c>
      <c r="L24" s="395">
        <f>G24*K24</f>
        <v>1998.1000000000001</v>
      </c>
      <c r="M24" s="395">
        <f>G24+J24+L24+I24</f>
        <v>26974.35</v>
      </c>
      <c r="N24" s="395">
        <f>M24*C24</f>
        <v>26974.35</v>
      </c>
      <c r="O24" s="368">
        <f>N24*12</f>
        <v>323692.19999999995</v>
      </c>
      <c r="P24" s="368">
        <f t="shared" ref="P24:P26" si="2">G24*C24</f>
        <v>19981</v>
      </c>
      <c r="Q24" s="389">
        <f>O24+P24</f>
        <v>343673.19999999995</v>
      </c>
    </row>
    <row r="25" spans="1:17" ht="35.25" customHeight="1" x14ac:dyDescent="0.25">
      <c r="A25" s="378" t="s">
        <v>369</v>
      </c>
      <c r="B25" s="391">
        <v>3439</v>
      </c>
      <c r="C25" s="391">
        <v>50</v>
      </c>
      <c r="D25" s="392">
        <v>1.8</v>
      </c>
      <c r="E25" s="393">
        <v>1.41</v>
      </c>
      <c r="F25" s="394">
        <v>1.9</v>
      </c>
      <c r="G25" s="395">
        <v>14602</v>
      </c>
      <c r="H25" s="396" t="s">
        <v>364</v>
      </c>
      <c r="I25" s="400">
        <v>3650.5</v>
      </c>
      <c r="J25" s="395">
        <v>1454.65</v>
      </c>
      <c r="K25" s="399">
        <v>0.1</v>
      </c>
      <c r="L25" s="395">
        <f>G25*K25</f>
        <v>1460.2</v>
      </c>
      <c r="M25" s="395">
        <f>G25+J25+L25+I25</f>
        <v>21167.35</v>
      </c>
      <c r="N25" s="395">
        <f>M25*C25</f>
        <v>1058367.5</v>
      </c>
      <c r="O25" s="368">
        <f>N25*12</f>
        <v>12700410</v>
      </c>
      <c r="P25" s="368">
        <f t="shared" si="2"/>
        <v>730100</v>
      </c>
      <c r="Q25" s="389">
        <f>O25+P25</f>
        <v>13430510</v>
      </c>
    </row>
    <row r="26" spans="1:17" ht="30.6" customHeight="1" x14ac:dyDescent="0.25">
      <c r="A26" s="378" t="s">
        <v>370</v>
      </c>
      <c r="B26" s="391" t="s">
        <v>371</v>
      </c>
      <c r="C26" s="391">
        <v>1</v>
      </c>
      <c r="D26" s="392">
        <v>1.8</v>
      </c>
      <c r="E26" s="393">
        <v>1.41</v>
      </c>
      <c r="F26" s="401">
        <v>2</v>
      </c>
      <c r="G26" s="395">
        <v>15370</v>
      </c>
      <c r="H26" s="402"/>
      <c r="I26" s="403"/>
      <c r="J26" s="397"/>
      <c r="K26" s="399">
        <v>0.1</v>
      </c>
      <c r="L26" s="395">
        <f>G26*K26</f>
        <v>1537</v>
      </c>
      <c r="M26" s="395">
        <f>G26+J26+L26+I26</f>
        <v>16907</v>
      </c>
      <c r="N26" s="395">
        <f>M26*C26</f>
        <v>16907</v>
      </c>
      <c r="O26" s="368">
        <f>N26*12</f>
        <v>202884</v>
      </c>
      <c r="P26" s="368">
        <f t="shared" si="2"/>
        <v>15370</v>
      </c>
      <c r="Q26" s="389">
        <f>O26+P26</f>
        <v>218254</v>
      </c>
    </row>
    <row r="27" spans="1:17" ht="49.9" customHeight="1" x14ac:dyDescent="0.3">
      <c r="A27" s="378" t="s">
        <v>372</v>
      </c>
      <c r="B27" s="379"/>
      <c r="C27" s="380">
        <f>SUM(C24:C26)</f>
        <v>52</v>
      </c>
      <c r="D27" s="381"/>
      <c r="E27" s="382"/>
      <c r="F27" s="383"/>
      <c r="G27" s="384">
        <f>G24+G25*C25+G26</f>
        <v>765451</v>
      </c>
      <c r="H27" s="385"/>
      <c r="I27" s="384">
        <f>I24+I25*$C$25+I26</f>
        <v>187520.25</v>
      </c>
      <c r="J27" s="384">
        <f>J24+J25*$C$25</f>
        <v>72732.5</v>
      </c>
      <c r="K27" s="388"/>
      <c r="L27" s="384">
        <f>L24+L25*$C$25+L26</f>
        <v>76545.100000000006</v>
      </c>
      <c r="M27" s="384"/>
      <c r="N27" s="384">
        <f>SUM(N24:N26)</f>
        <v>1102248.8500000001</v>
      </c>
      <c r="O27" s="384">
        <f>SUM(O24:O26)</f>
        <v>13226986.199999999</v>
      </c>
      <c r="P27" s="384">
        <f>SUM(P24:P26)</f>
        <v>765451</v>
      </c>
      <c r="Q27" s="389">
        <f>SUM(Q24:Q26)</f>
        <v>13992437.199999999</v>
      </c>
    </row>
    <row r="28" spans="1:17" ht="24" customHeight="1" x14ac:dyDescent="0.25">
      <c r="A28" s="623" t="s">
        <v>373</v>
      </c>
      <c r="B28" s="624"/>
      <c r="C28" s="380">
        <f>C18+C22+C27</f>
        <v>60</v>
      </c>
      <c r="D28" s="391"/>
      <c r="E28" s="391"/>
      <c r="F28" s="391"/>
      <c r="G28" s="404">
        <f>G18+G22+G27</f>
        <v>902596</v>
      </c>
      <c r="H28" s="404"/>
      <c r="I28" s="404">
        <f>I18+I22+I27</f>
        <v>203467</v>
      </c>
      <c r="J28" s="404">
        <f>J18+J22+J27</f>
        <v>72732.5</v>
      </c>
      <c r="K28" s="404"/>
      <c r="L28" s="404">
        <f t="shared" ref="L28" si="3">L18+L22+L27</f>
        <v>87534.8</v>
      </c>
      <c r="M28" s="404"/>
      <c r="N28" s="404">
        <f>G28+I28+J28+L28+1</f>
        <v>1266331.3</v>
      </c>
      <c r="O28" s="404">
        <f>O18+O22+O27</f>
        <v>15195963.6</v>
      </c>
      <c r="P28" s="404">
        <f t="shared" ref="P28:Q28" si="4">P18+P22+P27</f>
        <v>902596</v>
      </c>
      <c r="Q28" s="404">
        <f t="shared" si="4"/>
        <v>16098559.6</v>
      </c>
    </row>
    <row r="29" spans="1:17" ht="12" customHeight="1" x14ac:dyDescent="0.25">
      <c r="A29" s="405"/>
      <c r="B29" s="405"/>
      <c r="C29" s="406"/>
      <c r="D29" s="407"/>
      <c r="E29" s="407"/>
      <c r="F29" s="407"/>
      <c r="G29" s="408"/>
      <c r="H29" s="408"/>
      <c r="I29" s="408"/>
      <c r="J29" s="408"/>
      <c r="K29" s="408"/>
      <c r="L29" s="408"/>
      <c r="M29" s="408"/>
      <c r="N29" s="408"/>
      <c r="O29" s="408"/>
      <c r="P29" s="408"/>
      <c r="Q29" s="408"/>
    </row>
    <row r="30" spans="1:17" ht="20.25" x14ac:dyDescent="0.25">
      <c r="A30" s="625" t="s">
        <v>374</v>
      </c>
      <c r="B30" s="625"/>
      <c r="C30" s="625"/>
      <c r="D30" s="630">
        <f>O28</f>
        <v>15195963.6</v>
      </c>
      <c r="E30" s="630"/>
      <c r="F30" s="409"/>
      <c r="G30" s="410"/>
      <c r="H30" s="409"/>
      <c r="I30" s="411" t="s">
        <v>376</v>
      </c>
      <c r="J30" s="411"/>
      <c r="K30" s="411"/>
      <c r="L30" s="411"/>
      <c r="M30" s="525"/>
      <c r="N30" s="526">
        <f>(D30+D31)*22%</f>
        <v>3541683.1119999997</v>
      </c>
      <c r="O30" s="412"/>
      <c r="P30" s="413"/>
      <c r="Q30" s="355"/>
    </row>
    <row r="31" spans="1:17" ht="45.75" customHeight="1" x14ac:dyDescent="0.25">
      <c r="A31" s="609" t="s">
        <v>375</v>
      </c>
      <c r="B31" s="609"/>
      <c r="C31" s="609"/>
      <c r="D31" s="610">
        <f>P28</f>
        <v>902596</v>
      </c>
      <c r="E31" s="610"/>
      <c r="F31" s="409"/>
      <c r="G31" s="414"/>
      <c r="H31" s="415"/>
      <c r="I31" s="609" t="s">
        <v>377</v>
      </c>
      <c r="J31" s="609"/>
      <c r="K31" s="609"/>
      <c r="L31" s="609"/>
      <c r="M31" s="525"/>
      <c r="N31" s="526">
        <f>D30+D31+N30</f>
        <v>19640242.711999997</v>
      </c>
      <c r="O31" s="355"/>
      <c r="P31" s="416"/>
      <c r="Q31" s="355"/>
    </row>
    <row r="32" spans="1:17" ht="18.75" customHeight="1" x14ac:dyDescent="0.3">
      <c r="A32" s="411"/>
      <c r="B32" s="412"/>
      <c r="C32" s="421" t="s">
        <v>378</v>
      </c>
      <c r="D32" s="420"/>
      <c r="E32" s="420"/>
      <c r="F32" s="417"/>
      <c r="G32" s="418"/>
      <c r="H32" s="418"/>
      <c r="I32" s="422"/>
      <c r="J32" s="422"/>
      <c r="K32" s="422"/>
      <c r="L32" s="422"/>
      <c r="M32" s="420"/>
      <c r="N32" s="421" t="s">
        <v>276</v>
      </c>
      <c r="O32" s="419"/>
      <c r="P32" s="413"/>
      <c r="Q32" s="355"/>
    </row>
    <row r="33" spans="1:17" ht="16.5" customHeight="1" x14ac:dyDescent="0.25">
      <c r="A33" s="411"/>
      <c r="B33" s="412"/>
      <c r="C33" s="412"/>
      <c r="D33" s="420"/>
      <c r="E33" s="420"/>
      <c r="F33" s="417"/>
      <c r="G33" s="418"/>
      <c r="H33" s="418"/>
      <c r="I33" s="422"/>
      <c r="J33" s="422"/>
      <c r="K33" s="422"/>
      <c r="L33" s="422"/>
      <c r="M33" s="420"/>
      <c r="N33" s="420"/>
      <c r="O33" s="419"/>
      <c r="P33" s="413"/>
      <c r="Q33" s="355"/>
    </row>
    <row r="34" spans="1:17" ht="18" customHeight="1" x14ac:dyDescent="0.3">
      <c r="A34" s="411"/>
      <c r="B34" s="412"/>
      <c r="C34" s="421" t="s">
        <v>231</v>
      </c>
      <c r="D34" s="420"/>
      <c r="E34" s="420"/>
      <c r="F34" s="417"/>
      <c r="G34" s="418"/>
      <c r="H34" s="418"/>
      <c r="I34" s="422"/>
      <c r="J34" s="422"/>
      <c r="K34" s="422"/>
      <c r="L34" s="422"/>
      <c r="M34" s="420"/>
      <c r="N34" s="421" t="s">
        <v>379</v>
      </c>
      <c r="O34" s="419"/>
      <c r="P34" s="413"/>
      <c r="Q34" s="355"/>
    </row>
    <row r="35" spans="1:17" ht="14.25" customHeight="1" x14ac:dyDescent="0.25">
      <c r="A35" s="411"/>
      <c r="B35" s="412"/>
      <c r="C35" s="412"/>
      <c r="D35" s="420"/>
      <c r="E35" s="420"/>
      <c r="F35" s="417"/>
      <c r="G35" s="419"/>
      <c r="H35" s="419"/>
      <c r="I35" s="411"/>
      <c r="J35" s="411"/>
      <c r="K35" s="411"/>
      <c r="L35" s="411"/>
      <c r="M35" s="420"/>
      <c r="N35" s="420"/>
      <c r="O35" s="419"/>
      <c r="P35" s="413"/>
      <c r="Q35" s="355"/>
    </row>
    <row r="36" spans="1:17" ht="20.25" x14ac:dyDescent="0.25">
      <c r="A36" s="423"/>
      <c r="B36" s="424"/>
      <c r="C36" s="356" t="s">
        <v>232</v>
      </c>
      <c r="D36" s="356"/>
      <c r="E36" s="356"/>
      <c r="F36" s="356"/>
      <c r="G36" s="356"/>
      <c r="H36" s="425"/>
      <c r="I36" s="426"/>
      <c r="J36" s="427"/>
      <c r="K36" s="426"/>
      <c r="L36" s="426"/>
      <c r="N36" s="428" t="s">
        <v>279</v>
      </c>
      <c r="O36" s="413"/>
      <c r="P36" s="429"/>
      <c r="Q36" s="429"/>
    </row>
  </sheetData>
  <mergeCells count="33">
    <mergeCell ref="A1:C1"/>
    <mergeCell ref="N2:Q2"/>
    <mergeCell ref="A3:C3"/>
    <mergeCell ref="N3:Q3"/>
    <mergeCell ref="A4:G4"/>
    <mergeCell ref="N4:Q4"/>
    <mergeCell ref="A28:B28"/>
    <mergeCell ref="A30:C30"/>
    <mergeCell ref="A5:B5"/>
    <mergeCell ref="A7:Q7"/>
    <mergeCell ref="A8:Q8"/>
    <mergeCell ref="A10:A11"/>
    <mergeCell ref="B10:B11"/>
    <mergeCell ref="C10:C11"/>
    <mergeCell ref="D10:F10"/>
    <mergeCell ref="G10:G11"/>
    <mergeCell ref="D30:E30"/>
    <mergeCell ref="A31:C31"/>
    <mergeCell ref="D31:E31"/>
    <mergeCell ref="I31:L31"/>
    <mergeCell ref="Q10:Q11"/>
    <mergeCell ref="A12:A13"/>
    <mergeCell ref="B12:B13"/>
    <mergeCell ref="C12:C13"/>
    <mergeCell ref="D14:F14"/>
    <mergeCell ref="A19:Q19"/>
    <mergeCell ref="H10:I11"/>
    <mergeCell ref="K10:L11"/>
    <mergeCell ref="M10:M11"/>
    <mergeCell ref="N10:N11"/>
    <mergeCell ref="O10:O11"/>
    <mergeCell ref="P10:P11"/>
    <mergeCell ref="A23:Q23"/>
  </mergeCells>
  <pageMargins left="1.1811023622047245" right="0.39370078740157483" top="0.78740157480314965" bottom="0.78740157480314965" header="0.31496062992125984" footer="0.31496062992125984"/>
  <pageSetup paperSize="9" scale="55" orientation="landscape" r:id="rId1"/>
  <colBreaks count="1" manualBreakCount="1">
    <brk id="17" max="41" man="1"/>
  </colBreak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L34"/>
  <sheetViews>
    <sheetView view="pageBreakPreview" zoomScale="136" zoomScaleSheetLayoutView="136" workbookViewId="0">
      <selection activeCell="K11" sqref="K11"/>
    </sheetView>
  </sheetViews>
  <sheetFormatPr defaultRowHeight="15" x14ac:dyDescent="0.25"/>
  <cols>
    <col min="1" max="1" width="6.7109375" style="449" customWidth="1"/>
    <col min="2" max="2" width="26" style="449" customWidth="1"/>
    <col min="3" max="3" width="13.7109375" style="449" customWidth="1"/>
    <col min="4" max="4" width="9.140625" style="449"/>
    <col min="5" max="5" width="10.7109375" style="449" customWidth="1"/>
    <col min="6" max="6" width="10.140625" style="449" customWidth="1"/>
    <col min="7" max="7" width="10.5703125" style="449" customWidth="1"/>
    <col min="8" max="8" width="10.85546875" style="449" customWidth="1"/>
    <col min="9" max="9" width="9.140625" style="449"/>
    <col min="10" max="10" width="12.85546875" style="449" customWidth="1"/>
    <col min="11" max="11" width="12.7109375" style="449" customWidth="1"/>
    <col min="12" max="12" width="11.42578125" style="449" customWidth="1"/>
    <col min="13" max="16384" width="9.140625" style="449"/>
  </cols>
  <sheetData>
    <row r="2" spans="1:12" ht="15.75" x14ac:dyDescent="0.25">
      <c r="A2" s="648" t="s">
        <v>413</v>
      </c>
      <c r="B2" s="648"/>
      <c r="C2" s="648"/>
      <c r="D2" s="648"/>
      <c r="E2" s="648"/>
      <c r="F2" s="648"/>
      <c r="G2" s="648"/>
      <c r="H2" s="648"/>
      <c r="I2" s="648"/>
      <c r="J2" s="648"/>
    </row>
    <row r="3" spans="1:12" x14ac:dyDescent="0.25">
      <c r="A3" s="649" t="s">
        <v>389</v>
      </c>
      <c r="B3" s="649"/>
      <c r="C3" s="649"/>
      <c r="D3" s="649"/>
      <c r="E3" s="649"/>
      <c r="F3" s="649"/>
      <c r="G3" s="649"/>
      <c r="H3" s="649"/>
      <c r="I3" s="649"/>
      <c r="J3" s="649"/>
    </row>
    <row r="4" spans="1:12" x14ac:dyDescent="0.25">
      <c r="A4" s="650" t="s">
        <v>390</v>
      </c>
      <c r="B4" s="650"/>
      <c r="C4" s="650"/>
      <c r="D4" s="650"/>
      <c r="E4" s="650"/>
      <c r="F4" s="650"/>
      <c r="G4" s="650"/>
      <c r="H4" s="650"/>
      <c r="I4" s="650"/>
      <c r="J4" s="650"/>
    </row>
    <row r="5" spans="1:12" x14ac:dyDescent="0.25">
      <c r="A5" s="651" t="s">
        <v>391</v>
      </c>
      <c r="B5" s="651"/>
      <c r="C5" s="651"/>
      <c r="D5" s="651"/>
      <c r="E5" s="651"/>
      <c r="F5" s="651"/>
      <c r="G5" s="651"/>
      <c r="H5" s="651"/>
      <c r="I5" s="651"/>
      <c r="J5" s="651"/>
    </row>
    <row r="7" spans="1:12" ht="40.5" customHeight="1" x14ac:dyDescent="0.25">
      <c r="A7" s="652" t="s">
        <v>173</v>
      </c>
      <c r="B7" s="644" t="s">
        <v>392</v>
      </c>
      <c r="C7" s="644" t="s">
        <v>393</v>
      </c>
      <c r="D7" s="652" t="s">
        <v>394</v>
      </c>
      <c r="E7" s="644" t="s">
        <v>334</v>
      </c>
      <c r="F7" s="644"/>
      <c r="G7" s="644"/>
      <c r="H7" s="644" t="s">
        <v>335</v>
      </c>
      <c r="I7" s="644" t="s">
        <v>395</v>
      </c>
      <c r="J7" s="644" t="s">
        <v>396</v>
      </c>
    </row>
    <row r="8" spans="1:12" ht="51" x14ac:dyDescent="0.25">
      <c r="A8" s="652"/>
      <c r="B8" s="644"/>
      <c r="C8" s="644"/>
      <c r="D8" s="652"/>
      <c r="E8" s="450" t="s">
        <v>397</v>
      </c>
      <c r="F8" s="450" t="s">
        <v>345</v>
      </c>
      <c r="G8" s="450" t="s">
        <v>346</v>
      </c>
      <c r="H8" s="644"/>
      <c r="I8" s="644"/>
      <c r="J8" s="644"/>
    </row>
    <row r="9" spans="1:12" x14ac:dyDescent="0.25">
      <c r="A9" s="451">
        <v>1</v>
      </c>
      <c r="B9" s="450">
        <v>2</v>
      </c>
      <c r="C9" s="450">
        <v>3</v>
      </c>
      <c r="D9" s="451">
        <v>4</v>
      </c>
      <c r="E9" s="450">
        <v>5</v>
      </c>
      <c r="F9" s="450">
        <v>6</v>
      </c>
      <c r="G9" s="450">
        <v>7</v>
      </c>
      <c r="H9" s="450">
        <v>8</v>
      </c>
      <c r="I9" s="450">
        <v>9</v>
      </c>
      <c r="J9" s="450">
        <v>10</v>
      </c>
    </row>
    <row r="10" spans="1:12" ht="15.75" x14ac:dyDescent="0.25">
      <c r="A10" s="452" t="s">
        <v>398</v>
      </c>
      <c r="B10" s="453" t="s">
        <v>355</v>
      </c>
      <c r="C10" s="454" t="s">
        <v>356</v>
      </c>
      <c r="D10" s="454"/>
      <c r="E10" s="645" t="s">
        <v>399</v>
      </c>
      <c r="F10" s="645"/>
      <c r="G10" s="645"/>
      <c r="H10" s="455">
        <v>27248</v>
      </c>
      <c r="I10" s="454">
        <v>1</v>
      </c>
      <c r="J10" s="455">
        <f>H10*I10</f>
        <v>27248</v>
      </c>
      <c r="K10" s="456">
        <v>27248</v>
      </c>
      <c r="L10" s="456">
        <v>27248</v>
      </c>
    </row>
    <row r="11" spans="1:12" ht="31.5" customHeight="1" x14ac:dyDescent="0.25">
      <c r="A11" s="452" t="s">
        <v>400</v>
      </c>
      <c r="B11" s="457" t="s">
        <v>401</v>
      </c>
      <c r="C11" s="454" t="s">
        <v>359</v>
      </c>
      <c r="D11" s="454"/>
      <c r="E11" s="454">
        <v>1.8</v>
      </c>
      <c r="F11" s="454">
        <v>1.41</v>
      </c>
      <c r="G11" s="454">
        <v>2</v>
      </c>
      <c r="H11" s="455">
        <v>15370</v>
      </c>
      <c r="I11" s="454">
        <v>1</v>
      </c>
      <c r="J11" s="455">
        <f>H11*I11</f>
        <v>15370</v>
      </c>
      <c r="K11" s="456">
        <f>ROUND((3028*E11*F11*G11),0)</f>
        <v>15370</v>
      </c>
      <c r="L11" s="456">
        <f t="shared" ref="L11:L20" si="0">K11*I11</f>
        <v>15370</v>
      </c>
    </row>
    <row r="12" spans="1:12" ht="15.75" x14ac:dyDescent="0.25">
      <c r="A12" s="452" t="s">
        <v>402</v>
      </c>
      <c r="B12" s="458" t="s">
        <v>232</v>
      </c>
      <c r="C12" s="454" t="s">
        <v>359</v>
      </c>
      <c r="D12" s="454"/>
      <c r="E12" s="454">
        <v>1.8</v>
      </c>
      <c r="F12" s="454">
        <v>1.41</v>
      </c>
      <c r="G12" s="454">
        <v>2</v>
      </c>
      <c r="H12" s="455">
        <v>15370</v>
      </c>
      <c r="I12" s="454">
        <v>1</v>
      </c>
      <c r="J12" s="455">
        <f>H12*I12</f>
        <v>15370</v>
      </c>
      <c r="K12" s="456">
        <f>ROUND((3028*E12*F12*G12),0)</f>
        <v>15370</v>
      </c>
      <c r="L12" s="456">
        <f t="shared" si="0"/>
        <v>15370</v>
      </c>
    </row>
    <row r="13" spans="1:12" ht="15.75" x14ac:dyDescent="0.25">
      <c r="A13" s="452" t="s">
        <v>403</v>
      </c>
      <c r="B13" s="453" t="s">
        <v>360</v>
      </c>
      <c r="C13" s="454">
        <v>2429</v>
      </c>
      <c r="D13" s="454"/>
      <c r="E13" s="454">
        <v>1.8</v>
      </c>
      <c r="F13" s="454">
        <v>1.41</v>
      </c>
      <c r="G13" s="454">
        <v>2</v>
      </c>
      <c r="H13" s="455">
        <v>15370</v>
      </c>
      <c r="I13" s="454">
        <v>1</v>
      </c>
      <c r="J13" s="455">
        <f>H13*I13</f>
        <v>15370</v>
      </c>
      <c r="K13" s="456">
        <f>ROUND((3028*E13*F13*G13),0)</f>
        <v>15370</v>
      </c>
      <c r="L13" s="456">
        <f t="shared" si="0"/>
        <v>15370</v>
      </c>
    </row>
    <row r="14" spans="1:12" ht="15.75" x14ac:dyDescent="0.25">
      <c r="A14" s="646" t="s">
        <v>404</v>
      </c>
      <c r="B14" s="647"/>
      <c r="C14" s="454"/>
      <c r="D14" s="454"/>
      <c r="E14" s="454"/>
      <c r="F14" s="454"/>
      <c r="G14" s="454"/>
      <c r="H14" s="455"/>
      <c r="I14" s="454">
        <f>SUM(I10:I13)</f>
        <v>4</v>
      </c>
      <c r="J14" s="455">
        <f>SUM(J10:J13)</f>
        <v>73358</v>
      </c>
      <c r="K14" s="456"/>
      <c r="L14" s="456"/>
    </row>
    <row r="15" spans="1:12" ht="15.75" x14ac:dyDescent="0.25">
      <c r="A15" s="637" t="s">
        <v>362</v>
      </c>
      <c r="B15" s="638"/>
      <c r="C15" s="638"/>
      <c r="D15" s="638"/>
      <c r="E15" s="638"/>
      <c r="F15" s="638"/>
      <c r="G15" s="638"/>
      <c r="H15" s="638"/>
      <c r="I15" s="638"/>
      <c r="J15" s="639"/>
      <c r="K15" s="456"/>
      <c r="L15" s="456">
        <f t="shared" si="0"/>
        <v>0</v>
      </c>
    </row>
    <row r="16" spans="1:12" ht="15.75" x14ac:dyDescent="0.25">
      <c r="A16" s="452" t="s">
        <v>405</v>
      </c>
      <c r="B16" s="453" t="s">
        <v>406</v>
      </c>
      <c r="C16" s="454">
        <v>1235</v>
      </c>
      <c r="D16" s="454"/>
      <c r="E16" s="454">
        <v>1.8</v>
      </c>
      <c r="F16" s="454">
        <v>1.41</v>
      </c>
      <c r="G16" s="454">
        <v>2.6</v>
      </c>
      <c r="H16" s="455">
        <v>19981</v>
      </c>
      <c r="I16" s="454">
        <v>1</v>
      </c>
      <c r="J16" s="455">
        <f>H16*I16</f>
        <v>19981</v>
      </c>
      <c r="K16" s="456">
        <f>ROUND((3028*E16*F16*G16),0)</f>
        <v>19981</v>
      </c>
      <c r="L16" s="456">
        <f t="shared" si="0"/>
        <v>19981</v>
      </c>
    </row>
    <row r="17" spans="1:12" ht="15.75" x14ac:dyDescent="0.25">
      <c r="A17" s="452" t="s">
        <v>407</v>
      </c>
      <c r="B17" s="459" t="s">
        <v>408</v>
      </c>
      <c r="C17" s="454">
        <v>3439</v>
      </c>
      <c r="D17" s="454"/>
      <c r="E17" s="454">
        <v>1.8</v>
      </c>
      <c r="F17" s="454">
        <v>1.41</v>
      </c>
      <c r="G17" s="454">
        <v>1.9</v>
      </c>
      <c r="H17" s="455">
        <v>14602</v>
      </c>
      <c r="I17" s="454">
        <v>3</v>
      </c>
      <c r="J17" s="455">
        <f>H17*I17</f>
        <v>43806</v>
      </c>
      <c r="K17" s="456">
        <f>ROUND((3028*E17*F17*G17),0)</f>
        <v>14602</v>
      </c>
      <c r="L17" s="456">
        <f t="shared" si="0"/>
        <v>43806</v>
      </c>
    </row>
    <row r="18" spans="1:12" ht="31.5" customHeight="1" x14ac:dyDescent="0.25">
      <c r="A18" s="640" t="s">
        <v>409</v>
      </c>
      <c r="B18" s="641"/>
      <c r="C18" s="454"/>
      <c r="D18" s="454"/>
      <c r="E18" s="454"/>
      <c r="F18" s="454"/>
      <c r="G18" s="454"/>
      <c r="H18" s="455"/>
      <c r="I18" s="454">
        <f>SUM(I16:I17)</f>
        <v>4</v>
      </c>
      <c r="J18" s="455">
        <f>SUM(J16:J17)</f>
        <v>63787</v>
      </c>
      <c r="K18" s="456"/>
      <c r="L18" s="456"/>
    </row>
    <row r="19" spans="1:12" ht="15.75" x14ac:dyDescent="0.25">
      <c r="A19" s="637" t="s">
        <v>367</v>
      </c>
      <c r="B19" s="638"/>
      <c r="C19" s="638"/>
      <c r="D19" s="638"/>
      <c r="E19" s="638"/>
      <c r="F19" s="638"/>
      <c r="G19" s="638"/>
      <c r="H19" s="638"/>
      <c r="I19" s="638"/>
      <c r="J19" s="639"/>
      <c r="K19" s="456"/>
      <c r="L19" s="456"/>
    </row>
    <row r="20" spans="1:12" ht="18.75" customHeight="1" x14ac:dyDescent="0.25">
      <c r="A20" s="452" t="s">
        <v>195</v>
      </c>
      <c r="B20" s="453" t="s">
        <v>406</v>
      </c>
      <c r="C20" s="454">
        <v>1235</v>
      </c>
      <c r="D20" s="454"/>
      <c r="E20" s="454">
        <v>1.8</v>
      </c>
      <c r="F20" s="454">
        <v>1.41</v>
      </c>
      <c r="G20" s="454">
        <v>2.6</v>
      </c>
      <c r="H20" s="455">
        <v>19981</v>
      </c>
      <c r="I20" s="454">
        <v>1</v>
      </c>
      <c r="J20" s="455">
        <f>H20*I20</f>
        <v>19981</v>
      </c>
      <c r="K20" s="456">
        <f>ROUND((3028*E20*F20*G20),0)</f>
        <v>19981</v>
      </c>
      <c r="L20" s="456">
        <f t="shared" si="0"/>
        <v>19981</v>
      </c>
    </row>
    <row r="21" spans="1:12" ht="18.75" customHeight="1" x14ac:dyDescent="0.25">
      <c r="A21" s="452" t="s">
        <v>290</v>
      </c>
      <c r="B21" s="459" t="s">
        <v>408</v>
      </c>
      <c r="C21" s="454">
        <v>3439</v>
      </c>
      <c r="D21" s="454"/>
      <c r="E21" s="454">
        <v>1.8</v>
      </c>
      <c r="F21" s="454">
        <v>1.41</v>
      </c>
      <c r="G21" s="454">
        <v>1.9</v>
      </c>
      <c r="H21" s="455">
        <v>14602</v>
      </c>
      <c r="I21" s="454">
        <v>50</v>
      </c>
      <c r="J21" s="455">
        <f>H21*I21</f>
        <v>730100</v>
      </c>
      <c r="K21" s="456">
        <f>ROUND((3028*E21*F21*G21),0)</f>
        <v>14602</v>
      </c>
      <c r="L21" s="456">
        <f>K21*I21</f>
        <v>730100</v>
      </c>
    </row>
    <row r="22" spans="1:12" ht="18.75" customHeight="1" x14ac:dyDescent="0.25">
      <c r="A22" s="452" t="s">
        <v>301</v>
      </c>
      <c r="B22" s="453" t="s">
        <v>370</v>
      </c>
      <c r="C22" s="454" t="s">
        <v>371</v>
      </c>
      <c r="D22" s="454"/>
      <c r="E22" s="454">
        <v>1.8</v>
      </c>
      <c r="F22" s="454">
        <v>1.41</v>
      </c>
      <c r="G22" s="454">
        <v>2</v>
      </c>
      <c r="H22" s="455">
        <v>15370</v>
      </c>
      <c r="I22" s="454">
        <v>1</v>
      </c>
      <c r="J22" s="455">
        <f>H22*I22</f>
        <v>15370</v>
      </c>
      <c r="K22" s="456">
        <f t="shared" ref="K22" si="1">ROUND((3028*E22*F22*G22),0)</f>
        <v>15370</v>
      </c>
      <c r="L22" s="456">
        <f t="shared" ref="L22" si="2">K22*I22</f>
        <v>15370</v>
      </c>
    </row>
    <row r="23" spans="1:12" ht="46.5" customHeight="1" x14ac:dyDescent="0.25">
      <c r="A23" s="640" t="s">
        <v>410</v>
      </c>
      <c r="B23" s="641"/>
      <c r="C23" s="454"/>
      <c r="D23" s="454"/>
      <c r="E23" s="454"/>
      <c r="F23" s="454"/>
      <c r="G23" s="454"/>
      <c r="H23" s="455"/>
      <c r="I23" s="454">
        <f>SUM(I20:I22)</f>
        <v>52</v>
      </c>
      <c r="J23" s="455">
        <f>SUM(J20:J22)</f>
        <v>765451</v>
      </c>
      <c r="K23" s="456"/>
      <c r="L23" s="456"/>
    </row>
    <row r="24" spans="1:12" ht="15.75" x14ac:dyDescent="0.25">
      <c r="A24" s="642" t="s">
        <v>411</v>
      </c>
      <c r="B24" s="643"/>
      <c r="C24" s="454" t="s">
        <v>412</v>
      </c>
      <c r="D24" s="454" t="s">
        <v>412</v>
      </c>
      <c r="E24" s="454" t="s">
        <v>412</v>
      </c>
      <c r="F24" s="454" t="s">
        <v>412</v>
      </c>
      <c r="G24" s="454" t="s">
        <v>412</v>
      </c>
      <c r="H24" s="454" t="s">
        <v>412</v>
      </c>
      <c r="I24" s="460">
        <f>I14+I18+I23</f>
        <v>60</v>
      </c>
      <c r="J24" s="461">
        <f>J14+J18+J23</f>
        <v>902596</v>
      </c>
      <c r="L24" s="462">
        <f>SUM(L10:L20)</f>
        <v>157126</v>
      </c>
    </row>
    <row r="25" spans="1:12" ht="15.75" x14ac:dyDescent="0.25">
      <c r="A25" s="463"/>
      <c r="B25" s="464"/>
      <c r="C25" s="463"/>
      <c r="D25" s="463"/>
      <c r="E25" s="463"/>
      <c r="F25" s="463"/>
      <c r="G25" s="463"/>
      <c r="H25" s="463"/>
      <c r="I25" s="465"/>
      <c r="J25" s="465"/>
    </row>
    <row r="26" spans="1:12" ht="15.75" x14ac:dyDescent="0.25">
      <c r="A26" s="463"/>
      <c r="B26" s="464"/>
      <c r="C26" s="463"/>
      <c r="D26" s="463"/>
      <c r="E26" s="463"/>
      <c r="F26" s="463"/>
      <c r="G26" s="463"/>
      <c r="H26" s="463"/>
      <c r="I26" s="465"/>
      <c r="J26" s="465"/>
    </row>
    <row r="27" spans="1:12" x14ac:dyDescent="0.25">
      <c r="A27" s="466"/>
    </row>
    <row r="28" spans="1:12" ht="15.75" x14ac:dyDescent="0.25">
      <c r="B28" s="467" t="s">
        <v>378</v>
      </c>
      <c r="H28" s="467" t="s">
        <v>276</v>
      </c>
    </row>
    <row r="31" spans="1:12" ht="15.75" x14ac:dyDescent="0.25">
      <c r="B31" s="467" t="s">
        <v>231</v>
      </c>
      <c r="H31" s="467" t="s">
        <v>379</v>
      </c>
    </row>
    <row r="34" spans="2:8" ht="15.75" x14ac:dyDescent="0.25">
      <c r="B34" s="467" t="s">
        <v>232</v>
      </c>
      <c r="H34" s="467" t="s">
        <v>279</v>
      </c>
    </row>
  </sheetData>
  <mergeCells count="19">
    <mergeCell ref="A2:J2"/>
    <mergeCell ref="A3:J3"/>
    <mergeCell ref="A4:J4"/>
    <mergeCell ref="A5:J5"/>
    <mergeCell ref="A7:A8"/>
    <mergeCell ref="B7:B8"/>
    <mergeCell ref="C7:C8"/>
    <mergeCell ref="D7:D8"/>
    <mergeCell ref="E7:G7"/>
    <mergeCell ref="H7:H8"/>
    <mergeCell ref="A19:J19"/>
    <mergeCell ref="A23:B23"/>
    <mergeCell ref="A24:B24"/>
    <mergeCell ref="I7:I8"/>
    <mergeCell ref="J7:J8"/>
    <mergeCell ref="E10:G10"/>
    <mergeCell ref="A14:B14"/>
    <mergeCell ref="A15:J15"/>
    <mergeCell ref="A18:B18"/>
  </mergeCells>
  <pageMargins left="1.1811023622047245" right="0.39370078740157483" top="0.78740157480314965" bottom="0.78740157480314965" header="0.31496062992125984" footer="0.31496062992125984"/>
  <pageSetup paperSize="9" scale="72" orientation="portrait" r:id="rId1"/>
  <colBreaks count="1" manualBreakCount="1">
    <brk id="1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5</vt:i4>
      </vt:variant>
      <vt:variant>
        <vt:lpstr>Іменовані діапазони</vt:lpstr>
      </vt:variant>
      <vt:variant>
        <vt:i4>6</vt:i4>
      </vt:variant>
    </vt:vector>
  </HeadingPairs>
  <TitlesOfParts>
    <vt:vector size="11" baseType="lpstr">
      <vt:lpstr>ФІН.ПЛАН 2024</vt:lpstr>
      <vt:lpstr>помісячний</vt:lpstr>
      <vt:lpstr>розрахунок_2024</vt:lpstr>
      <vt:lpstr>ФОП_2024</vt:lpstr>
      <vt:lpstr>штат_8230_2024</vt:lpstr>
      <vt:lpstr>помісячний!Заголовки_для_друку</vt:lpstr>
      <vt:lpstr>розрахунок_2024!Заголовки_для_друку</vt:lpstr>
      <vt:lpstr>помісячний!Область_друку</vt:lpstr>
      <vt:lpstr>розрахунок_2024!Область_друку</vt:lpstr>
      <vt:lpstr>'ФІН.ПЛАН 2024'!Область_друку</vt:lpstr>
      <vt:lpstr>ФОП_2024!Область_друку</vt:lpstr>
    </vt:vector>
  </TitlesOfParts>
  <Company>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</dc:creator>
  <cp:lastModifiedBy>Y Y</cp:lastModifiedBy>
  <cp:lastPrinted>2024-08-27T14:00:44Z</cp:lastPrinted>
  <dcterms:created xsi:type="dcterms:W3CDTF">2003-03-13T16:00:22Z</dcterms:created>
  <dcterms:modified xsi:type="dcterms:W3CDTF">2024-08-27T14:02:29Z</dcterms:modified>
</cp:coreProperties>
</file>