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FIN-OTDEL\share\БЮДЖЕТ 2024 рік\Рішення про бюджет на 2024 рік\7. Рішення від 14.10.2024 № 1908-VIII\Рішення від  14.10.2024 № 1908-VIII\"/>
    </mc:Choice>
  </mc:AlternateContent>
  <bookViews>
    <workbookView xWindow="-120" yWindow="-120" windowWidth="29040" windowHeight="15840" activeTab="4"/>
  </bookViews>
  <sheets>
    <sheet name="дод 1 Доходи" sheetId="22" r:id="rId1"/>
    <sheet name="дод 2 Джерела" sheetId="23" r:id="rId2"/>
    <sheet name="дод 3 Видатки" sheetId="19" r:id="rId3"/>
    <sheet name="дод 4 Трансферти" sheetId="24" r:id="rId4"/>
    <sheet name="дод 5 Програми" sheetId="11" r:id="rId5"/>
    <sheet name="дод 6 Бюджет розвитку" sheetId="25" r:id="rId6"/>
  </sheets>
  <definedNames>
    <definedName name="_xlnm.Print_Titles" localSheetId="0">'дод 1 Доходи'!$16:$19</definedName>
    <definedName name="_xlnm.Print_Titles" localSheetId="2">'дод 3 Видатки'!$18:$22</definedName>
    <definedName name="_xlnm.Print_Titles" localSheetId="4">'дод 5 Програми'!$20:$22</definedName>
    <definedName name="_xlnm.Print_Area" localSheetId="0">'дод 1 Доходи'!$A$1:$F$92</definedName>
    <definedName name="_xlnm.Print_Area" localSheetId="1">'дод 2 Джерела'!$A$1:$F$40</definedName>
    <definedName name="_xlnm.Print_Area" localSheetId="2">'дод 3 Видатки'!$A$1:$P$143</definedName>
    <definedName name="_xlnm.Print_Area" localSheetId="3">'дод 4 Трансферти'!$A$1:$D$77</definedName>
    <definedName name="_xlnm.Print_Area" localSheetId="4">'дод 5 Програми'!$A$1:$J$124</definedName>
    <definedName name="_xlnm.Print_Area" localSheetId="5">'дод 6 Бюджет розвитку'!$A$1:$K$111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23" l="1"/>
  <c r="D28" i="23"/>
  <c r="J104" i="25" l="1"/>
  <c r="J31" i="25"/>
  <c r="J108" i="11"/>
  <c r="J37" i="11"/>
  <c r="D71" i="24"/>
  <c r="O120" i="19"/>
  <c r="K38" i="19"/>
  <c r="D26" i="23"/>
  <c r="D22" i="22"/>
  <c r="G96" i="19" l="1"/>
  <c r="F96" i="19"/>
  <c r="G79" i="19"/>
  <c r="F79" i="19"/>
  <c r="F75" i="19"/>
  <c r="C69" i="22" l="1"/>
  <c r="C70" i="22"/>
  <c r="D68" i="22"/>
  <c r="J49" i="25"/>
  <c r="G87" i="11"/>
  <c r="H44" i="11"/>
  <c r="G54" i="11"/>
  <c r="F43" i="19"/>
  <c r="O95" i="19"/>
  <c r="J100" i="19"/>
  <c r="P100" i="19" s="1"/>
  <c r="K100" i="19"/>
  <c r="D24" i="24" l="1"/>
  <c r="P51" i="19"/>
  <c r="E50" i="19"/>
  <c r="E51" i="19"/>
  <c r="J107" i="25" l="1"/>
  <c r="J106" i="25" s="1"/>
  <c r="J99" i="25"/>
  <c r="K99" i="25" s="1"/>
  <c r="G98" i="25"/>
  <c r="G97" i="25"/>
  <c r="J96" i="25"/>
  <c r="I94" i="25"/>
  <c r="J93" i="25"/>
  <c r="I90" i="25"/>
  <c r="J87" i="25"/>
  <c r="J82" i="25"/>
  <c r="H82" i="25"/>
  <c r="I82" i="25" s="1"/>
  <c r="I75" i="25"/>
  <c r="J71" i="25"/>
  <c r="K71" i="25" s="1"/>
  <c r="H69" i="25"/>
  <c r="H68" i="25" s="1"/>
  <c r="G69" i="25"/>
  <c r="J68" i="25"/>
  <c r="J66" i="25"/>
  <c r="I66" i="25"/>
  <c r="I65" i="25"/>
  <c r="J62" i="25"/>
  <c r="I60" i="25"/>
  <c r="J59" i="25"/>
  <c r="J54" i="25" s="1"/>
  <c r="J53" i="25" s="1"/>
  <c r="H59" i="25"/>
  <c r="I59" i="25" s="1"/>
  <c r="I56" i="25"/>
  <c r="J48" i="25"/>
  <c r="J42" i="25"/>
  <c r="J41" i="25" s="1"/>
  <c r="J37" i="25"/>
  <c r="J36" i="25" s="1"/>
  <c r="J33" i="25"/>
  <c r="J32" i="25" s="1"/>
  <c r="J24" i="25"/>
  <c r="J23" i="25" l="1"/>
  <c r="J22" i="25" s="1"/>
  <c r="J109" i="25" s="1"/>
  <c r="K68" i="25"/>
  <c r="I68" i="25"/>
  <c r="H119" i="11" l="1"/>
  <c r="G119" i="11" s="1"/>
  <c r="H118" i="11"/>
  <c r="G118" i="11"/>
  <c r="J117" i="11"/>
  <c r="J116" i="11" s="1"/>
  <c r="I117" i="11"/>
  <c r="H117" i="11"/>
  <c r="I116" i="11"/>
  <c r="H116" i="11"/>
  <c r="H115" i="11"/>
  <c r="G115" i="11" s="1"/>
  <c r="H114" i="11"/>
  <c r="H113" i="11" s="1"/>
  <c r="H112" i="11" s="1"/>
  <c r="G114" i="11"/>
  <c r="J113" i="11"/>
  <c r="J112" i="11" s="1"/>
  <c r="I113" i="11"/>
  <c r="I112" i="11"/>
  <c r="G111" i="11"/>
  <c r="G110" i="11" s="1"/>
  <c r="G109" i="11" s="1"/>
  <c r="J110" i="11"/>
  <c r="J109" i="11" s="1"/>
  <c r="I110" i="11"/>
  <c r="H110" i="11"/>
  <c r="H109" i="11" s="1"/>
  <c r="I109" i="11"/>
  <c r="I108" i="11"/>
  <c r="J107" i="11"/>
  <c r="I107" i="11" s="1"/>
  <c r="I106" i="11"/>
  <c r="J106" i="11" s="1"/>
  <c r="G106" i="11" s="1"/>
  <c r="I105" i="11"/>
  <c r="G105" i="11"/>
  <c r="J104" i="11"/>
  <c r="I104" i="11" s="1"/>
  <c r="G104" i="11"/>
  <c r="I103" i="11"/>
  <c r="G103" i="11"/>
  <c r="J102" i="11"/>
  <c r="I102" i="11" s="1"/>
  <c r="J101" i="11"/>
  <c r="I101" i="11" s="1"/>
  <c r="J100" i="11"/>
  <c r="I100" i="11" s="1"/>
  <c r="J99" i="11"/>
  <c r="G99" i="11" s="1"/>
  <c r="I98" i="11"/>
  <c r="G98" i="11"/>
  <c r="J97" i="11"/>
  <c r="I97" i="11" s="1"/>
  <c r="H96" i="11"/>
  <c r="H95" i="11" s="1"/>
  <c r="G94" i="11"/>
  <c r="H93" i="11"/>
  <c r="G93" i="11" s="1"/>
  <c r="H92" i="11"/>
  <c r="G92" i="11" s="1"/>
  <c r="H91" i="11"/>
  <c r="G91" i="11" s="1"/>
  <c r="H90" i="11"/>
  <c r="G90" i="11" s="1"/>
  <c r="H89" i="11"/>
  <c r="G89" i="11" s="1"/>
  <c r="J88" i="11"/>
  <c r="H88" i="11"/>
  <c r="G86" i="11"/>
  <c r="H85" i="11"/>
  <c r="G85" i="11" s="1"/>
  <c r="G84" i="11"/>
  <c r="H81" i="11"/>
  <c r="G81" i="11" s="1"/>
  <c r="H80" i="11"/>
  <c r="G80" i="11" s="1"/>
  <c r="G79" i="11"/>
  <c r="J78" i="11"/>
  <c r="H78" i="11"/>
  <c r="G78" i="11" s="1"/>
  <c r="H77" i="11"/>
  <c r="G77" i="11" s="1"/>
  <c r="G76" i="11"/>
  <c r="G75" i="11"/>
  <c r="G74" i="11"/>
  <c r="G73" i="11"/>
  <c r="G72" i="11"/>
  <c r="G71" i="11"/>
  <c r="G70" i="11"/>
  <c r="G69" i="11"/>
  <c r="J68" i="11"/>
  <c r="J67" i="11" s="1"/>
  <c r="I68" i="11"/>
  <c r="I67" i="11" s="1"/>
  <c r="G66" i="11"/>
  <c r="J65" i="11"/>
  <c r="I65" i="11"/>
  <c r="H65" i="11"/>
  <c r="G65" i="11" s="1"/>
  <c r="J64" i="11"/>
  <c r="I64" i="11"/>
  <c r="H64" i="11"/>
  <c r="G64" i="11" s="1"/>
  <c r="H63" i="11"/>
  <c r="H62" i="11"/>
  <c r="G62" i="11" s="1"/>
  <c r="G61" i="11"/>
  <c r="G60" i="11"/>
  <c r="G59" i="11"/>
  <c r="G58" i="11"/>
  <c r="J57" i="11"/>
  <c r="J56" i="11" s="1"/>
  <c r="I57" i="11"/>
  <c r="I56" i="11" s="1"/>
  <c r="H55" i="11"/>
  <c r="G55" i="11" s="1"/>
  <c r="I53" i="11"/>
  <c r="G53" i="11" s="1"/>
  <c r="H52" i="11"/>
  <c r="G52" i="11" s="1"/>
  <c r="I51" i="11"/>
  <c r="G51" i="11"/>
  <c r="I50" i="11"/>
  <c r="G49" i="11"/>
  <c r="G48" i="11"/>
  <c r="H47" i="11"/>
  <c r="G47" i="11" s="1"/>
  <c r="H46" i="11"/>
  <c r="G46" i="11" s="1"/>
  <c r="G45" i="11"/>
  <c r="G44" i="11"/>
  <c r="H43" i="11"/>
  <c r="J42" i="11"/>
  <c r="J41" i="11" s="1"/>
  <c r="I40" i="11"/>
  <c r="H40" i="11"/>
  <c r="J39" i="11"/>
  <c r="I39" i="11" s="1"/>
  <c r="H39" i="11"/>
  <c r="J38" i="11"/>
  <c r="I38" i="11" s="1"/>
  <c r="G38" i="11" s="1"/>
  <c r="H38" i="11"/>
  <c r="I37" i="11"/>
  <c r="H37" i="11"/>
  <c r="J36" i="11"/>
  <c r="I36" i="11" s="1"/>
  <c r="G36" i="11" s="1"/>
  <c r="H36" i="11"/>
  <c r="I35" i="11"/>
  <c r="G35" i="11" s="1"/>
  <c r="I34" i="11"/>
  <c r="H34" i="11"/>
  <c r="I33" i="11"/>
  <c r="G33" i="11" s="1"/>
  <c r="I32" i="11"/>
  <c r="H32" i="11"/>
  <c r="J31" i="11"/>
  <c r="I31" i="11" s="1"/>
  <c r="G31" i="11" s="1"/>
  <c r="H31" i="11"/>
  <c r="I30" i="11"/>
  <c r="H30" i="11"/>
  <c r="J29" i="11"/>
  <c r="H29" i="11"/>
  <c r="G28" i="11"/>
  <c r="J27" i="11"/>
  <c r="I27" i="11" s="1"/>
  <c r="G27" i="11" s="1"/>
  <c r="H26" i="11"/>
  <c r="G26" i="11" s="1"/>
  <c r="G25" i="11"/>
  <c r="G40" i="11" l="1"/>
  <c r="H57" i="11"/>
  <c r="G57" i="11" s="1"/>
  <c r="G34" i="11"/>
  <c r="I99" i="11"/>
  <c r="G102" i="11"/>
  <c r="G43" i="11"/>
  <c r="H42" i="11"/>
  <c r="I42" i="11"/>
  <c r="I41" i="11" s="1"/>
  <c r="I88" i="11"/>
  <c r="J83" i="11"/>
  <c r="G30" i="11"/>
  <c r="I96" i="11"/>
  <c r="I95" i="11" s="1"/>
  <c r="G95" i="11" s="1"/>
  <c r="G37" i="11"/>
  <c r="G39" i="11"/>
  <c r="H83" i="11"/>
  <c r="J82" i="11"/>
  <c r="G32" i="11"/>
  <c r="G113" i="11"/>
  <c r="G112" i="11" s="1"/>
  <c r="J24" i="11"/>
  <c r="J23" i="11" s="1"/>
  <c r="G50" i="11"/>
  <c r="G63" i="11"/>
  <c r="G108" i="11"/>
  <c r="G117" i="11"/>
  <c r="G116" i="11" s="1"/>
  <c r="H56" i="11"/>
  <c r="G56" i="11" s="1"/>
  <c r="G88" i="11"/>
  <c r="H82" i="11"/>
  <c r="H24" i="11"/>
  <c r="I29" i="11"/>
  <c r="I24" i="11" s="1"/>
  <c r="I23" i="11" s="1"/>
  <c r="J96" i="11"/>
  <c r="J95" i="11" s="1"/>
  <c r="G101" i="11"/>
  <c r="G107" i="11"/>
  <c r="H68" i="11"/>
  <c r="G97" i="11"/>
  <c r="G100" i="11"/>
  <c r="G42" i="11" l="1"/>
  <c r="I83" i="11"/>
  <c r="I82" i="11" s="1"/>
  <c r="H41" i="11"/>
  <c r="G41" i="11" s="1"/>
  <c r="G96" i="11"/>
  <c r="J120" i="11"/>
  <c r="H67" i="11"/>
  <c r="G67" i="11" s="1"/>
  <c r="G68" i="11"/>
  <c r="G29" i="11"/>
  <c r="H23" i="11"/>
  <c r="G24" i="11"/>
  <c r="G82" i="11" l="1"/>
  <c r="I120" i="11"/>
  <c r="G83" i="11"/>
  <c r="H120" i="11"/>
  <c r="G23" i="11"/>
  <c r="G120" i="11" s="1"/>
  <c r="D66" i="24" l="1"/>
  <c r="D42" i="24"/>
  <c r="D54" i="24"/>
  <c r="F73" i="22"/>
  <c r="D73" i="22"/>
  <c r="E76" i="22"/>
  <c r="E73" i="22" s="1"/>
  <c r="D29" i="24"/>
  <c r="D38" i="24"/>
  <c r="O119" i="19" l="1"/>
  <c r="O112" i="19"/>
  <c r="O113" i="19"/>
  <c r="O109" i="19"/>
  <c r="K109" i="19" s="1"/>
  <c r="J43" i="19"/>
  <c r="K42" i="19"/>
  <c r="K40" i="19" s="1"/>
  <c r="O38" i="19"/>
  <c r="F138" i="19"/>
  <c r="O135" i="19"/>
  <c r="F135" i="19"/>
  <c r="E135" i="19" s="1"/>
  <c r="F134" i="19"/>
  <c r="F104" i="19"/>
  <c r="F102" i="19"/>
  <c r="H88" i="19"/>
  <c r="G88" i="19"/>
  <c r="F88" i="19"/>
  <c r="H84" i="19"/>
  <c r="G84" i="19"/>
  <c r="F84" i="19"/>
  <c r="H83" i="19"/>
  <c r="F83" i="19"/>
  <c r="H82" i="19"/>
  <c r="F82" i="19"/>
  <c r="M40" i="19"/>
  <c r="F72" i="19"/>
  <c r="O50" i="19"/>
  <c r="L50" i="19"/>
  <c r="L40" i="19" s="1"/>
  <c r="F49" i="19"/>
  <c r="E49" i="19" s="1"/>
  <c r="O58" i="19"/>
  <c r="E57" i="19"/>
  <c r="P57" i="19" s="1"/>
  <c r="E58" i="19"/>
  <c r="P58" i="19" s="1"/>
  <c r="H54" i="19"/>
  <c r="F54" i="19"/>
  <c r="H45" i="19"/>
  <c r="F45" i="19"/>
  <c r="H43" i="19"/>
  <c r="H42" i="19"/>
  <c r="F42" i="19"/>
  <c r="G42" i="19"/>
  <c r="H41" i="19"/>
  <c r="F41" i="19"/>
  <c r="F38" i="19"/>
  <c r="F34" i="19"/>
  <c r="F25" i="19"/>
  <c r="F28" i="19"/>
  <c r="C82" i="22"/>
  <c r="C79" i="22"/>
  <c r="D72" i="22"/>
  <c r="O42" i="19" l="1"/>
  <c r="J42" i="19" s="1"/>
  <c r="O40" i="19"/>
  <c r="E58" i="22" l="1"/>
  <c r="D41" i="22"/>
  <c r="D70" i="24"/>
  <c r="D75" i="24" s="1"/>
  <c r="D67" i="24"/>
  <c r="D65" i="24"/>
  <c r="D64" i="24"/>
  <c r="D63" i="24" s="1"/>
  <c r="D53" i="24"/>
  <c r="D58" i="24" s="1"/>
  <c r="D50" i="24"/>
  <c r="D48" i="24"/>
  <c r="D46" i="24"/>
  <c r="D44" i="24"/>
  <c r="D40" i="24"/>
  <c r="D36" i="24"/>
  <c r="D34" i="24"/>
  <c r="D32" i="24"/>
  <c r="D30" i="24"/>
  <c r="D28" i="24"/>
  <c r="D26" i="24"/>
  <c r="D23" i="24"/>
  <c r="D22" i="24" s="1"/>
  <c r="D57" i="24" l="1"/>
  <c r="D74" i="24"/>
  <c r="D73" i="24" s="1"/>
  <c r="D56" i="24"/>
  <c r="O131" i="19"/>
  <c r="J133" i="19"/>
  <c r="J134" i="19"/>
  <c r="J135" i="19"/>
  <c r="P135" i="19" s="1"/>
  <c r="J132" i="19"/>
  <c r="K135" i="19"/>
  <c r="K131" i="19" s="1"/>
  <c r="K120" i="19"/>
  <c r="J120" i="19"/>
  <c r="P120" i="19" s="1"/>
  <c r="O114" i="19"/>
  <c r="K113" i="19"/>
  <c r="J131" i="19" l="1"/>
  <c r="J113" i="19"/>
  <c r="P113" i="19" s="1"/>
  <c r="K119" i="19"/>
  <c r="K112" i="19"/>
  <c r="O108" i="19"/>
  <c r="K108" i="19"/>
  <c r="F108" i="19"/>
  <c r="F129" i="19"/>
  <c r="E129" i="19" s="1"/>
  <c r="P129" i="19" s="1"/>
  <c r="F127" i="19"/>
  <c r="K101" i="19"/>
  <c r="F101" i="19"/>
  <c r="F103" i="19"/>
  <c r="O78" i="19"/>
  <c r="J89" i="19"/>
  <c r="K89" i="19"/>
  <c r="F89" i="19"/>
  <c r="H59" i="19"/>
  <c r="H40" i="19" s="1"/>
  <c r="G59" i="19"/>
  <c r="F59" i="19"/>
  <c r="G43" i="19"/>
  <c r="F36" i="19"/>
  <c r="J26" i="19"/>
  <c r="J27" i="19"/>
  <c r="K27" i="19"/>
  <c r="K36" i="19" l="1"/>
  <c r="O36" i="19" s="1"/>
  <c r="J34" i="19"/>
  <c r="E34" i="19"/>
  <c r="F29" i="19"/>
  <c r="P34" i="19" l="1"/>
  <c r="J36" i="19"/>
  <c r="G75" i="19" l="1"/>
  <c r="G48" i="19" l="1"/>
  <c r="G47" i="19"/>
  <c r="O25" i="19" l="1"/>
  <c r="K25" i="19"/>
  <c r="J25" i="19" l="1"/>
  <c r="O61" i="19"/>
  <c r="K61" i="19"/>
  <c r="H61" i="19"/>
  <c r="I61" i="19"/>
  <c r="L61" i="19"/>
  <c r="M61" i="19"/>
  <c r="N61" i="19"/>
  <c r="J70" i="19"/>
  <c r="E70" i="19"/>
  <c r="P70" i="19" l="1"/>
  <c r="C74" i="22"/>
  <c r="C77" i="22" l="1"/>
  <c r="C78" i="22"/>
  <c r="E46" i="19" l="1"/>
  <c r="P46" i="19" s="1"/>
  <c r="E47" i="19"/>
  <c r="P47" i="19" s="1"/>
  <c r="E48" i="19"/>
  <c r="F53" i="19" l="1"/>
  <c r="F40" i="19" s="1"/>
  <c r="G123" i="19"/>
  <c r="F123" i="19"/>
  <c r="G78" i="19"/>
  <c r="G25" i="19"/>
  <c r="G24" i="19" s="1"/>
  <c r="G127" i="19"/>
  <c r="G132" i="19"/>
  <c r="F132" i="19"/>
  <c r="G138" i="19"/>
  <c r="G108" i="19"/>
  <c r="G62" i="19"/>
  <c r="G61" i="19" s="1"/>
  <c r="F62" i="19"/>
  <c r="G41" i="19"/>
  <c r="G40" i="19" s="1"/>
  <c r="D27" i="23" l="1"/>
  <c r="J119" i="19"/>
  <c r="O117" i="19"/>
  <c r="O116" i="19"/>
  <c r="K116" i="19" s="1"/>
  <c r="O115" i="19"/>
  <c r="O111" i="19"/>
  <c r="O110" i="19"/>
  <c r="J110" i="19" s="1"/>
  <c r="P110" i="19" s="1"/>
  <c r="F65" i="19"/>
  <c r="F61" i="19" s="1"/>
  <c r="F93" i="19"/>
  <c r="F91" i="19"/>
  <c r="F92" i="19"/>
  <c r="E90" i="19"/>
  <c r="P90" i="19" s="1"/>
  <c r="H78" i="19"/>
  <c r="E37" i="19"/>
  <c r="E59" i="19"/>
  <c r="P59" i="19" s="1"/>
  <c r="P48" i="19"/>
  <c r="E45" i="19"/>
  <c r="E38" i="19"/>
  <c r="C72" i="22"/>
  <c r="C71" i="22" s="1"/>
  <c r="C76" i="22"/>
  <c r="D71" i="22"/>
  <c r="C81" i="22"/>
  <c r="C80" i="22"/>
  <c r="C26" i="23"/>
  <c r="P119" i="19" l="1"/>
  <c r="C27" i="23"/>
  <c r="C34" i="23" s="1"/>
  <c r="D25" i="23"/>
  <c r="J116" i="19"/>
  <c r="P116" i="19" s="1"/>
  <c r="D34" i="23"/>
  <c r="F78" i="19"/>
  <c r="K110" i="19"/>
  <c r="C25" i="23" l="1"/>
  <c r="E104" i="19" l="1"/>
  <c r="P104" i="19" s="1"/>
  <c r="O118" i="19"/>
  <c r="O107" i="19" s="1"/>
  <c r="K118" i="19" l="1"/>
  <c r="J118" i="19"/>
  <c r="P118" i="19" s="1"/>
  <c r="J33" i="19" l="1"/>
  <c r="J35" i="19"/>
  <c r="J37" i="19"/>
  <c r="J32" i="19"/>
  <c r="J38" i="19" l="1"/>
  <c r="P38" i="19" s="1"/>
  <c r="E62" i="22" l="1"/>
  <c r="E123" i="19"/>
  <c r="F124" i="19"/>
  <c r="F122" i="19" s="1"/>
  <c r="K115" i="19"/>
  <c r="K117" i="19"/>
  <c r="K114" i="19"/>
  <c r="J111" i="19"/>
  <c r="J109" i="19"/>
  <c r="P109" i="19" s="1"/>
  <c r="K111" i="19"/>
  <c r="E132" i="19"/>
  <c r="E134" i="19"/>
  <c r="F133" i="19"/>
  <c r="F131" i="19" s="1"/>
  <c r="G126" i="19"/>
  <c r="F128" i="19"/>
  <c r="F126" i="19" s="1"/>
  <c r="O39" i="19"/>
  <c r="J44" i="19"/>
  <c r="J45" i="19"/>
  <c r="J49" i="19"/>
  <c r="J50" i="19"/>
  <c r="P37" i="19"/>
  <c r="J28" i="19"/>
  <c r="K30" i="19"/>
  <c r="F30" i="19"/>
  <c r="F26" i="19"/>
  <c r="O30" i="19" l="1"/>
  <c r="O24" i="19" s="1"/>
  <c r="K24" i="19"/>
  <c r="K23" i="19" s="1"/>
  <c r="F24" i="19"/>
  <c r="K107" i="19"/>
  <c r="P49" i="19"/>
  <c r="P134" i="19"/>
  <c r="J117" i="19"/>
  <c r="P117" i="19" s="1"/>
  <c r="E124" i="19"/>
  <c r="E122" i="19" s="1"/>
  <c r="E133" i="19"/>
  <c r="P133" i="19" s="1"/>
  <c r="P50" i="19"/>
  <c r="E131" i="19" l="1"/>
  <c r="J30" i="19"/>
  <c r="F28" i="23"/>
  <c r="F35" i="23" s="1"/>
  <c r="F32" i="23" s="1"/>
  <c r="D35" i="23"/>
  <c r="F62" i="22"/>
  <c r="F61" i="22" s="1"/>
  <c r="C68" i="22"/>
  <c r="E65" i="22"/>
  <c r="E64" i="22" s="1"/>
  <c r="F65" i="22"/>
  <c r="F64" i="22" s="1"/>
  <c r="D67" i="22"/>
  <c r="C67" i="22" s="1"/>
  <c r="E35" i="23"/>
  <c r="E32" i="23" s="1"/>
  <c r="E25" i="23"/>
  <c r="E24" i="23" s="1"/>
  <c r="E31" i="23" s="1"/>
  <c r="C87" i="22"/>
  <c r="C85" i="22"/>
  <c r="C84" i="22"/>
  <c r="C83" i="22"/>
  <c r="C75" i="22"/>
  <c r="C62" i="22"/>
  <c r="C61" i="22" s="1"/>
  <c r="E61" i="22"/>
  <c r="C60" i="22"/>
  <c r="E59" i="22"/>
  <c r="C59" i="22" s="1"/>
  <c r="F58" i="22"/>
  <c r="F55" i="22" s="1"/>
  <c r="F44" i="22" s="1"/>
  <c r="C58" i="22"/>
  <c r="C57" i="22"/>
  <c r="C56" i="22"/>
  <c r="E55" i="22"/>
  <c r="D55" i="22"/>
  <c r="C54" i="22"/>
  <c r="C53" i="22"/>
  <c r="C52" i="22"/>
  <c r="C51" i="22"/>
  <c r="C50" i="22"/>
  <c r="D49" i="22"/>
  <c r="C49" i="22" s="1"/>
  <c r="C48" i="22"/>
  <c r="C47" i="22"/>
  <c r="C46" i="22"/>
  <c r="D45" i="22"/>
  <c r="C45" i="22" s="1"/>
  <c r="C43" i="22"/>
  <c r="E42" i="22"/>
  <c r="C42" i="22" s="1"/>
  <c r="C41" i="22"/>
  <c r="C40" i="22"/>
  <c r="C39" i="22"/>
  <c r="C38" i="22"/>
  <c r="C37" i="22"/>
  <c r="C36" i="22"/>
  <c r="D35" i="22"/>
  <c r="C35" i="22" s="1"/>
  <c r="C34" i="22"/>
  <c r="C33" i="22"/>
  <c r="C32" i="22"/>
  <c r="C31" i="22"/>
  <c r="D30" i="22"/>
  <c r="C30" i="22" s="1"/>
  <c r="C27" i="22"/>
  <c r="C26" i="22"/>
  <c r="C25" i="22"/>
  <c r="D24" i="22"/>
  <c r="C24" i="22" s="1"/>
  <c r="C23" i="22"/>
  <c r="C22" i="22"/>
  <c r="D21" i="22"/>
  <c r="C21" i="22" s="1"/>
  <c r="C73" i="22" l="1"/>
  <c r="D66" i="22"/>
  <c r="D65" i="22" s="1"/>
  <c r="C65" i="22" s="1"/>
  <c r="E44" i="22"/>
  <c r="C55" i="22"/>
  <c r="D29" i="22"/>
  <c r="C29" i="22" s="1"/>
  <c r="D32" i="23"/>
  <c r="F63" i="22"/>
  <c r="F88" i="22" s="1"/>
  <c r="F25" i="23"/>
  <c r="F24" i="23" s="1"/>
  <c r="F31" i="23" s="1"/>
  <c r="C32" i="23"/>
  <c r="C24" i="23"/>
  <c r="D33" i="23"/>
  <c r="C33" i="23" s="1"/>
  <c r="E29" i="23"/>
  <c r="E36" i="23" s="1"/>
  <c r="E20" i="22"/>
  <c r="D44" i="22"/>
  <c r="E63" i="22" l="1"/>
  <c r="D28" i="22"/>
  <c r="C28" i="22" s="1"/>
  <c r="E88" i="22"/>
  <c r="C44" i="22"/>
  <c r="C66" i="22"/>
  <c r="D64" i="22"/>
  <c r="C64" i="22" s="1"/>
  <c r="F29" i="23"/>
  <c r="F36" i="23" s="1"/>
  <c r="D20" i="22"/>
  <c r="D63" i="22" s="1"/>
  <c r="D24" i="23"/>
  <c r="D31" i="23" s="1"/>
  <c r="C31" i="23"/>
  <c r="C29" i="23"/>
  <c r="C36" i="23" s="1"/>
  <c r="D29" i="23" l="1"/>
  <c r="D36" i="23" s="1"/>
  <c r="D88" i="22"/>
  <c r="C88" i="22" s="1"/>
  <c r="C63" i="22"/>
  <c r="C20" i="22"/>
  <c r="J115" i="19"/>
  <c r="P115" i="19" s="1"/>
  <c r="F98" i="19" l="1"/>
  <c r="F95" i="19" s="1"/>
  <c r="J102" i="19"/>
  <c r="G102" i="19"/>
  <c r="E102" i="19"/>
  <c r="P102" i="19" l="1"/>
  <c r="E69" i="19" l="1"/>
  <c r="P69" i="19" s="1"/>
  <c r="E66" i="19"/>
  <c r="P66" i="19" s="1"/>
  <c r="E67" i="19"/>
  <c r="P67" i="19" s="1"/>
  <c r="E55" i="19"/>
  <c r="P55" i="19" s="1"/>
  <c r="N107" i="19" l="1"/>
  <c r="M107" i="19"/>
  <c r="L107" i="19"/>
  <c r="I107" i="19"/>
  <c r="H107" i="19"/>
  <c r="G107" i="19"/>
  <c r="F107" i="19"/>
  <c r="J114" i="19"/>
  <c r="P114" i="19" l="1"/>
  <c r="N24" i="19"/>
  <c r="M24" i="19"/>
  <c r="L24" i="19"/>
  <c r="I24" i="19"/>
  <c r="H24" i="19"/>
  <c r="N40" i="19" l="1"/>
  <c r="I40" i="19"/>
  <c r="K85" i="19"/>
  <c r="K83" i="19"/>
  <c r="K82" i="19"/>
  <c r="K80" i="19"/>
  <c r="J112" i="19"/>
  <c r="J105" i="19"/>
  <c r="I137" i="19"/>
  <c r="K137" i="19"/>
  <c r="L137" i="19"/>
  <c r="M137" i="19"/>
  <c r="N137" i="19"/>
  <c r="O137" i="19"/>
  <c r="H137" i="19"/>
  <c r="G137" i="19"/>
  <c r="F137" i="19"/>
  <c r="P112" i="19" l="1"/>
  <c r="J139" i="19" l="1"/>
  <c r="E139" i="19"/>
  <c r="J138" i="19"/>
  <c r="E138" i="19"/>
  <c r="K136" i="19"/>
  <c r="G136" i="19"/>
  <c r="F136" i="19"/>
  <c r="I136" i="19"/>
  <c r="H136" i="19"/>
  <c r="P132" i="19"/>
  <c r="P131" i="19" s="1"/>
  <c r="O130" i="19"/>
  <c r="N131" i="19"/>
  <c r="N130" i="19" s="1"/>
  <c r="M131" i="19"/>
  <c r="M130" i="19" s="1"/>
  <c r="L131" i="19"/>
  <c r="L130" i="19" s="1"/>
  <c r="K130" i="19"/>
  <c r="I131" i="19"/>
  <c r="I130" i="19" s="1"/>
  <c r="H131" i="19"/>
  <c r="H130" i="19" s="1"/>
  <c r="G131" i="19"/>
  <c r="G130" i="19" s="1"/>
  <c r="F130" i="19"/>
  <c r="E128" i="19"/>
  <c r="P128" i="19" s="1"/>
  <c r="J127" i="19"/>
  <c r="J126" i="19" s="1"/>
  <c r="J125" i="19" s="1"/>
  <c r="J124" i="19" s="1"/>
  <c r="E127" i="19"/>
  <c r="O126" i="19"/>
  <c r="O125" i="19" s="1"/>
  <c r="N126" i="19"/>
  <c r="N125" i="19" s="1"/>
  <c r="M126" i="19"/>
  <c r="M125" i="19" s="1"/>
  <c r="L126" i="19"/>
  <c r="L125" i="19" s="1"/>
  <c r="K126" i="19"/>
  <c r="K125" i="19" s="1"/>
  <c r="K124" i="19" s="1"/>
  <c r="K123" i="19" s="1"/>
  <c r="K122" i="19" s="1"/>
  <c r="K121" i="19" s="1"/>
  <c r="I126" i="19"/>
  <c r="I125" i="19" s="1"/>
  <c r="H126" i="19"/>
  <c r="H125" i="19" s="1"/>
  <c r="G125" i="19"/>
  <c r="F125" i="19"/>
  <c r="E121" i="19"/>
  <c r="O122" i="19"/>
  <c r="O121" i="19" s="1"/>
  <c r="N122" i="19"/>
  <c r="N121" i="19" s="1"/>
  <c r="M122" i="19"/>
  <c r="M121" i="19" s="1"/>
  <c r="L122" i="19"/>
  <c r="L121" i="19" s="1"/>
  <c r="I122" i="19"/>
  <c r="I121" i="19" s="1"/>
  <c r="H122" i="19"/>
  <c r="H121" i="19" s="1"/>
  <c r="G122" i="19"/>
  <c r="G121" i="19" s="1"/>
  <c r="F121" i="19"/>
  <c r="E111" i="19"/>
  <c r="P111" i="19" s="1"/>
  <c r="J108" i="19"/>
  <c r="J107" i="19" s="1"/>
  <c r="E108" i="19"/>
  <c r="O106" i="19"/>
  <c r="N106" i="19"/>
  <c r="M106" i="19"/>
  <c r="L106" i="19"/>
  <c r="I106" i="19"/>
  <c r="H106" i="19"/>
  <c r="G106" i="19"/>
  <c r="E105" i="19"/>
  <c r="J103" i="19"/>
  <c r="E103" i="19"/>
  <c r="J101" i="19"/>
  <c r="E101" i="19"/>
  <c r="J99" i="19"/>
  <c r="E99" i="19"/>
  <c r="J98" i="19"/>
  <c r="E98" i="19"/>
  <c r="J97" i="19"/>
  <c r="E97" i="19"/>
  <c r="K96" i="19"/>
  <c r="J96" i="19"/>
  <c r="E96" i="19"/>
  <c r="O94" i="19"/>
  <c r="N95" i="19"/>
  <c r="N94" i="19" s="1"/>
  <c r="M95" i="19"/>
  <c r="M94" i="19" s="1"/>
  <c r="L95" i="19"/>
  <c r="L94" i="19" s="1"/>
  <c r="I95" i="19"/>
  <c r="I94" i="19" s="1"/>
  <c r="H95" i="19"/>
  <c r="H94" i="19" s="1"/>
  <c r="G95" i="19"/>
  <c r="G94" i="19" s="1"/>
  <c r="F94" i="19"/>
  <c r="J93" i="19"/>
  <c r="E93" i="19"/>
  <c r="J92" i="19"/>
  <c r="E92" i="19"/>
  <c r="J91" i="19"/>
  <c r="E91" i="19"/>
  <c r="E89" i="19"/>
  <c r="P89" i="19" s="1"/>
  <c r="J88" i="19"/>
  <c r="E88" i="19"/>
  <c r="J87" i="19"/>
  <c r="E87" i="19"/>
  <c r="J86" i="19"/>
  <c r="E86" i="19"/>
  <c r="J85" i="19"/>
  <c r="E85" i="19"/>
  <c r="J84" i="19"/>
  <c r="E84" i="19"/>
  <c r="J83" i="19"/>
  <c r="E83" i="19"/>
  <c r="J82" i="19"/>
  <c r="E82" i="19"/>
  <c r="J81" i="19"/>
  <c r="E81" i="19"/>
  <c r="J80" i="19"/>
  <c r="E80" i="19"/>
  <c r="J79" i="19"/>
  <c r="E79" i="19"/>
  <c r="O77" i="19"/>
  <c r="N78" i="19"/>
  <c r="N77" i="19" s="1"/>
  <c r="M78" i="19"/>
  <c r="M77" i="19" s="1"/>
  <c r="L78" i="19"/>
  <c r="L77" i="19" s="1"/>
  <c r="K78" i="19"/>
  <c r="K77" i="19" s="1"/>
  <c r="I78" i="19"/>
  <c r="I77" i="19" s="1"/>
  <c r="H77" i="19"/>
  <c r="G77" i="19"/>
  <c r="F77" i="19"/>
  <c r="J76" i="19"/>
  <c r="E76" i="19"/>
  <c r="J75" i="19"/>
  <c r="E75" i="19"/>
  <c r="O74" i="19"/>
  <c r="O73" i="19" s="1"/>
  <c r="N74" i="19"/>
  <c r="N73" i="19" s="1"/>
  <c r="M74" i="19"/>
  <c r="M73" i="19" s="1"/>
  <c r="L74" i="19"/>
  <c r="L73" i="19" s="1"/>
  <c r="K74" i="19"/>
  <c r="K73" i="19" s="1"/>
  <c r="I74" i="19"/>
  <c r="I73" i="19" s="1"/>
  <c r="H74" i="19"/>
  <c r="H73" i="19" s="1"/>
  <c r="G74" i="19"/>
  <c r="G73" i="19" s="1"/>
  <c r="F74" i="19"/>
  <c r="F73" i="19" s="1"/>
  <c r="J72" i="19"/>
  <c r="E72" i="19"/>
  <c r="J71" i="19"/>
  <c r="E71" i="19"/>
  <c r="J68" i="19"/>
  <c r="E68" i="19"/>
  <c r="J65" i="19"/>
  <c r="E65" i="19"/>
  <c r="J64" i="19"/>
  <c r="E64" i="19"/>
  <c r="J63" i="19"/>
  <c r="E63" i="19"/>
  <c r="J62" i="19"/>
  <c r="E62" i="19"/>
  <c r="O60" i="19"/>
  <c r="N60" i="19"/>
  <c r="M60" i="19"/>
  <c r="L60" i="19"/>
  <c r="K60" i="19"/>
  <c r="I60" i="19"/>
  <c r="H60" i="19"/>
  <c r="G60" i="19"/>
  <c r="F60" i="19"/>
  <c r="E56" i="19"/>
  <c r="P56" i="19" s="1"/>
  <c r="E54" i="19"/>
  <c r="E53" i="19"/>
  <c r="P53" i="19" s="1"/>
  <c r="E52" i="19"/>
  <c r="P52" i="19" s="1"/>
  <c r="P45" i="19"/>
  <c r="E44" i="19"/>
  <c r="E43" i="19"/>
  <c r="E42" i="19"/>
  <c r="E40" i="19" s="1"/>
  <c r="P40" i="19" s="1"/>
  <c r="J41" i="19"/>
  <c r="J40" i="19" s="1"/>
  <c r="E41" i="19"/>
  <c r="N39" i="19"/>
  <c r="M39" i="19"/>
  <c r="K39" i="19"/>
  <c r="H39" i="19"/>
  <c r="F39" i="19"/>
  <c r="L39" i="19"/>
  <c r="I39" i="19"/>
  <c r="E36" i="19"/>
  <c r="E35" i="19"/>
  <c r="E33" i="19"/>
  <c r="E32" i="19"/>
  <c r="J31" i="19"/>
  <c r="E31" i="19"/>
  <c r="E30" i="19"/>
  <c r="P30" i="19" s="1"/>
  <c r="J29" i="19"/>
  <c r="E29" i="19"/>
  <c r="E28" i="19"/>
  <c r="E27" i="19"/>
  <c r="E26" i="19"/>
  <c r="E25" i="19"/>
  <c r="P25" i="19" s="1"/>
  <c r="O23" i="19"/>
  <c r="N23" i="19"/>
  <c r="M23" i="19"/>
  <c r="I23" i="19"/>
  <c r="H23" i="19"/>
  <c r="G23" i="19"/>
  <c r="F23" i="19"/>
  <c r="L23" i="19"/>
  <c r="J95" i="19" l="1"/>
  <c r="K95" i="19"/>
  <c r="K94" i="19" s="1"/>
  <c r="E126" i="19"/>
  <c r="P126" i="19" s="1"/>
  <c r="P127" i="19"/>
  <c r="J24" i="19"/>
  <c r="J23" i="19" s="1"/>
  <c r="P101" i="19"/>
  <c r="E24" i="19"/>
  <c r="P36" i="19"/>
  <c r="J61" i="19"/>
  <c r="J60" i="19" s="1"/>
  <c r="E61" i="19"/>
  <c r="E60" i="19" s="1"/>
  <c r="E95" i="19"/>
  <c r="E94" i="19" s="1"/>
  <c r="E78" i="19"/>
  <c r="E77" i="19" s="1"/>
  <c r="J39" i="19"/>
  <c r="P42" i="19"/>
  <c r="E107" i="19"/>
  <c r="P107" i="19" s="1"/>
  <c r="P108" i="19"/>
  <c r="P124" i="19"/>
  <c r="J123" i="19"/>
  <c r="J122" i="19" s="1"/>
  <c r="J121" i="19" s="1"/>
  <c r="P121" i="19" s="1"/>
  <c r="P41" i="19"/>
  <c r="M140" i="19"/>
  <c r="P35" i="19"/>
  <c r="P99" i="19"/>
  <c r="P26" i="19"/>
  <c r="P32" i="19"/>
  <c r="P79" i="19"/>
  <c r="P96" i="19"/>
  <c r="P97" i="19"/>
  <c r="P80" i="19"/>
  <c r="P88" i="19"/>
  <c r="P93" i="19"/>
  <c r="P82" i="19"/>
  <c r="P83" i="19"/>
  <c r="P87" i="19"/>
  <c r="P92" i="19"/>
  <c r="P43" i="19"/>
  <c r="P64" i="19"/>
  <c r="P81" i="19"/>
  <c r="J78" i="19"/>
  <c r="J77" i="19" s="1"/>
  <c r="G39" i="19"/>
  <c r="G140" i="19" s="1"/>
  <c r="E130" i="19"/>
  <c r="P54" i="19"/>
  <c r="P75" i="19"/>
  <c r="P63" i="19"/>
  <c r="P71" i="19"/>
  <c r="P44" i="19"/>
  <c r="P65" i="19"/>
  <c r="P76" i="19"/>
  <c r="P138" i="19"/>
  <c r="E137" i="19"/>
  <c r="E136" i="19" s="1"/>
  <c r="J74" i="19"/>
  <c r="J73" i="19" s="1"/>
  <c r="P33" i="19"/>
  <c r="L140" i="19"/>
  <c r="P31" i="19"/>
  <c r="P28" i="19"/>
  <c r="J137" i="19"/>
  <c r="J136" i="19" s="1"/>
  <c r="J130" i="19"/>
  <c r="P85" i="19"/>
  <c r="P103" i="19"/>
  <c r="P98" i="19"/>
  <c r="P139" i="19"/>
  <c r="P72" i="19"/>
  <c r="P84" i="19"/>
  <c r="O140" i="19"/>
  <c r="I140" i="19"/>
  <c r="P29" i="19"/>
  <c r="P105" i="19"/>
  <c r="P68" i="19"/>
  <c r="P27" i="19"/>
  <c r="J94" i="19"/>
  <c r="N140" i="19"/>
  <c r="P91" i="19"/>
  <c r="H140" i="19"/>
  <c r="E74" i="19"/>
  <c r="P62" i="19"/>
  <c r="P86" i="19"/>
  <c r="P95" i="19" l="1"/>
  <c r="E125" i="19"/>
  <c r="P125" i="19" s="1"/>
  <c r="P24" i="19"/>
  <c r="P78" i="19"/>
  <c r="P122" i="19"/>
  <c r="P123" i="19"/>
  <c r="P94" i="19"/>
  <c r="E106" i="19"/>
  <c r="F106" i="19" s="1"/>
  <c r="F140" i="19" s="1"/>
  <c r="E23" i="19"/>
  <c r="P23" i="19" s="1"/>
  <c r="J106" i="19"/>
  <c r="P77" i="19"/>
  <c r="P130" i="19"/>
  <c r="P137" i="19"/>
  <c r="P136" i="19"/>
  <c r="P60" i="19"/>
  <c r="P61" i="19"/>
  <c r="E73" i="19"/>
  <c r="P73" i="19" s="1"/>
  <c r="P74" i="19"/>
  <c r="E39" i="19"/>
  <c r="P39" i="19" s="1"/>
  <c r="J140" i="19" l="1"/>
  <c r="P106" i="19"/>
  <c r="E140" i="19"/>
  <c r="P140" i="19" l="1"/>
  <c r="K106" i="19" l="1"/>
  <c r="K140" i="19" s="1"/>
</calcChain>
</file>

<file path=xl/sharedStrings.xml><?xml version="1.0" encoding="utf-8"?>
<sst xmlns="http://schemas.openxmlformats.org/spreadsheetml/2006/main" count="1631" uniqueCount="678">
  <si>
    <t>(код бюджету)</t>
  </si>
  <si>
    <t>Усього</t>
  </si>
  <si>
    <t>Загальний фонд</t>
  </si>
  <si>
    <t>Спеціальний фонд</t>
  </si>
  <si>
    <t>усього</t>
  </si>
  <si>
    <t>у тому числі бюджет розвитку</t>
  </si>
  <si>
    <t>X</t>
  </si>
  <si>
    <t>до  рішення Южненської міської ради</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</si>
  <si>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</si>
  <si>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</si>
  <si>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</si>
  <si>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</si>
  <si>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</si>
  <si>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</si>
  <si>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</si>
  <si>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</si>
  <si>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</si>
  <si>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</si>
  <si>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</si>
  <si>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</si>
  <si>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</si>
  <si>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</si>
  <si>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</si>
  <si>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</si>
  <si>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</si>
  <si>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</si>
  <si>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</si>
  <si>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</si>
  <si>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</si>
  <si>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</si>
  <si>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</si>
  <si>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</si>
  <si>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</si>
  <si>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</si>
  <si>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</si>
  <si>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</si>
  <si>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</si>
  <si>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</si>
  <si>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</si>
  <si>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</si>
  <si>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</si>
  <si>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</si>
  <si>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</si>
  <si>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</si>
  <si>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</si>
  <si>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</si>
  <si>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</si>
  <si>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</si>
  <si>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</si>
  <si>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</si>
  <si>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</si>
  <si>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</si>
  <si>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</si>
  <si>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</si>
  <si>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</si>
  <si>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</si>
  <si>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</si>
  <si>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</si>
  <si>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</si>
  <si>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</si>
  <si>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</si>
  <si>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</si>
  <si>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</si>
  <si>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</si>
  <si>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</si>
  <si>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</si>
  <si>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</si>
  <si>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</si>
  <si>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</si>
  <si>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</si>
  <si>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</si>
  <si>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</si>
  <si>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</si>
  <si>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</si>
  <si>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</si>
  <si>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</si>
  <si>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</si>
  <si>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</si>
  <si>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</si>
  <si>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</si>
  <si>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</si>
  <si>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</si>
  <si>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</si>
  <si>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</si>
  <si>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</si>
  <si>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</si>
  <si>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</si>
  <si>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</si>
  <si>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</si>
  <si>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</si>
  <si>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</si>
  <si>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</si>
  <si>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</si>
  <si>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</si>
  <si>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</si>
  <si>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</si>
  <si>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</si>
  <si>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</si>
  <si>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</si>
  <si>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</si>
  <si>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</si>
  <si>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</si>
  <si>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</si>
  <si>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</si>
  <si>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</si>
  <si>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</si>
  <si>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</si>
  <si>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</si>
  <si>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</si>
  <si>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</si>
  <si>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</si>
  <si>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</si>
  <si>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</si>
  <si>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</si>
  <si>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</si>
  <si>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</si>
  <si>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</si>
  <si>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</si>
  <si>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</si>
  <si>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</si>
  <si>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</si>
  <si>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</si>
  <si>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</si>
  <si>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</si>
  <si>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</si>
  <si>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</si>
  <si>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</si>
  <si>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</si>
  <si>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</si>
  <si>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</si>
  <si>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</si>
  <si>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</si>
  <si>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</si>
  <si>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</si>
  <si>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</si>
  <si>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</si>
  <si>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</si>
  <si>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</si>
  <si>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</si>
  <si>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</si>
  <si>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</si>
  <si>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</si>
  <si>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</si>
  <si>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</si>
  <si>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</si>
  <si>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</si>
  <si>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</si>
  <si>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</si>
  <si>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</si>
  <si>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</si>
  <si>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</si>
  <si>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</si>
  <si>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</si>
  <si>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</si>
  <si>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</si>
  <si>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</si>
  <si>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</si>
  <si>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</si>
  <si>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</si>
  <si>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</si>
  <si>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</si>
  <si>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</si>
  <si>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</si>
  <si>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</si>
  <si>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</si>
  <si>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</si>
  <si>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</si>
  <si>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</si>
  <si>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</si>
  <si>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</si>
  <si>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</si>
  <si>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</si>
  <si>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</si>
  <si>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</si>
  <si>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</si>
  <si>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</si>
  <si>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</si>
  <si>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</si>
  <si>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</si>
  <si>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</si>
  <si>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</si>
  <si>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</si>
  <si>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</si>
  <si>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</si>
  <si>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</si>
  <si>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</si>
  <si>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</si>
  <si>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</si>
  <si>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</si>
  <si>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</si>
  <si>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</si>
  <si>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</si>
  <si>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</si>
  <si>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</si>
  <si>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</si>
  <si>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</si>
  <si>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</si>
  <si>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</si>
  <si>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</si>
  <si>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</si>
  <si>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</si>
  <si>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</si>
  <si>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</si>
  <si>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</si>
  <si>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</si>
  <si>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</si>
  <si>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</si>
  <si>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</si>
  <si>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</si>
  <si>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</si>
  <si>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</si>
  <si>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</si>
  <si>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</si>
  <si>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</si>
  <si>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</si>
  <si>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</si>
  <si>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</si>
  <si>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</si>
  <si>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</si>
  <si>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</si>
  <si>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</si>
  <si>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</si>
  <si>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</si>
  <si>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</si>
  <si>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</si>
  <si>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</si>
  <si>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</si>
  <si>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</si>
  <si>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територіальної громади  на 2024 рік"</t>
  </si>
  <si>
    <t>Розподіл витрат місцевого бюджету на реалізацію місцевих програм у 2024 році</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</si>
  <si>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</si>
  <si>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</si>
  <si>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</si>
  <si>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</si>
  <si>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</si>
  <si>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</si>
  <si>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</si>
  <si>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</si>
  <si>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</si>
  <si>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</si>
  <si>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</si>
  <si>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</si>
  <si>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</si>
  <si>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</si>
  <si>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</si>
  <si>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</si>
  <si>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</si>
  <si>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</si>
  <si>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</si>
  <si>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</si>
  <si>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</si>
  <si>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</si>
  <si>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</si>
  <si>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</si>
  <si>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</si>
  <si>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</si>
  <si>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</si>
  <si>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</si>
  <si>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</si>
  <si>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</si>
  <si>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</si>
  <si>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</si>
  <si>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</si>
  <si>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</si>
  <si>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</si>
  <si>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</si>
  <si>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</si>
  <si>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</si>
  <si>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</si>
  <si>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</si>
  <si>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</si>
  <si>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</si>
  <si>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</si>
  <si>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</si>
  <si>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</si>
  <si>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</si>
  <si>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1604 -VIІІ</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</si>
  <si>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</si>
  <si>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</si>
  <si>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</si>
  <si>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"Додаток 3</t>
  </si>
  <si>
    <t>до рішення Южненської міської ради</t>
  </si>
  <si>
    <t>територіальної громади на 2024 рік"</t>
  </si>
  <si>
    <t>(грн)</t>
  </si>
  <si>
    <t>(пункт 4)"</t>
  </si>
  <si>
    <t>Додаток 3</t>
  </si>
  <si>
    <t>1517322</t>
  </si>
  <si>
    <t>7322</t>
  </si>
  <si>
    <t>0443</t>
  </si>
  <si>
    <t>Будівництво  медичних установ та закладів</t>
  </si>
  <si>
    <t>Програма розвитку інфраструктури Южненської міської територіальної громади на 2020-2024 роки</t>
  </si>
  <si>
    <t xml:space="preserve">"Про  бюджет Южненської міської  </t>
  </si>
  <si>
    <t>№  1604-VIII</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</si>
  <si>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</si>
  <si>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</si>
  <si>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</si>
  <si>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</si>
  <si>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</si>
  <si>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</si>
  <si>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</si>
  <si>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</si>
  <si>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</si>
  <si>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</si>
  <si>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</si>
  <si>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</si>
  <si>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</si>
  <si>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</si>
  <si>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</si>
  <si>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</si>
  <si>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</si>
  <si>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</si>
  <si>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</si>
  <si>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</si>
  <si>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</si>
  <si>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</si>
  <si>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</si>
  <si>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</si>
  <si>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</si>
  <si>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</si>
  <si>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</si>
  <si>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</si>
  <si>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</si>
  <si>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</si>
  <si>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</si>
  <si>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</si>
  <si>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</si>
  <si>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</si>
  <si>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</si>
  <si>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</si>
  <si>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</si>
  <si>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</si>
  <si>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</si>
  <si>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</si>
  <si>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</si>
  <si>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</si>
  <si>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</si>
  <si>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</si>
  <si>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</si>
  <si>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</si>
  <si>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</si>
  <si>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</si>
  <si>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</si>
  <si>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</si>
  <si>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</si>
  <si>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</si>
  <si>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</si>
  <si>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</si>
  <si>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</si>
  <si>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</si>
  <si>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</si>
  <si>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</si>
  <si>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</si>
  <si>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</si>
  <si>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</si>
  <si>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</si>
  <si>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</si>
  <si>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</si>
  <si>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</si>
  <si>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</si>
  <si>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</si>
  <si>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</si>
  <si>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</si>
  <si>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</si>
  <si>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</si>
  <si>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</si>
  <si>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</si>
  <si>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</si>
  <si>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</si>
  <si>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</si>
  <si>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</si>
  <si>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</si>
  <si>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</si>
  <si>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</si>
  <si>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</si>
  <si>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</si>
  <si>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</si>
  <si>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</si>
  <si>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</si>
  <si>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</si>
  <si>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</si>
  <si>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</si>
  <si>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</si>
  <si>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</si>
  <si>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</si>
  <si>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</si>
  <si>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</si>
  <si>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</si>
  <si>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</si>
  <si>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</si>
  <si>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Секретар Южненської міської ради</t>
  </si>
  <si>
    <t>№  1604-VIІІ</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</si>
  <si>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</si>
  <si>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</si>
  <si>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</si>
  <si>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</si>
  <si>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</si>
  <si>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</si>
  <si>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</si>
  <si>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</si>
  <si>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</si>
  <si>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</si>
  <si>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</si>
  <si>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</si>
  <si>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</si>
  <si>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</si>
  <si>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</si>
  <si>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</si>
  <si>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</si>
  <si>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</si>
  <si>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</si>
  <si>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</si>
  <si>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</si>
  <si>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</si>
  <si>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</si>
  <si>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</si>
  <si>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</si>
  <si>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</si>
  <si>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</si>
  <si>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99000000000</t>
  </si>
  <si>
    <t>Державний бюджет</t>
  </si>
  <si>
    <t>Обласний бюджет Одеської області</t>
  </si>
  <si>
    <t>15100000000</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</si>
  <si>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</si>
  <si>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</si>
  <si>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</si>
  <si>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</si>
  <si>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</si>
  <si>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</si>
  <si>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</si>
  <si>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</si>
  <si>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</si>
  <si>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</si>
  <si>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</si>
  <si>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</si>
  <si>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Субвенції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</si>
  <si>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</si>
  <si>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0219800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</si>
  <si>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</si>
  <si>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</si>
  <si>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</si>
  <si>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0611291</t>
  </si>
  <si>
    <t>0611292</t>
  </si>
  <si>
    <t>1291</t>
  </si>
  <si>
    <t>1292</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</si>
  <si>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</si>
  <si>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</si>
  <si>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Інші заходи, пов'язані з економічною діяльністю</t>
  </si>
  <si>
    <t>0210180</t>
  </si>
  <si>
    <t>Будівництво інших об'єктів комунальної власності</t>
  </si>
  <si>
    <t>Забезпечення збору та вивезення сміття і відходів</t>
  </si>
  <si>
    <t>Комплексна цільова програма "Електронна громада"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</si>
  <si>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</si>
  <si>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Рішення ЮМР від 07.12.2022року № 1177-VIIІ з внесеними змінами від  14.12.2023 року № 1602-VIII,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</si>
  <si>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</si>
  <si>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1616014</t>
  </si>
  <si>
    <t>Управління архітектури Южненської міської ради Одеського району Одеської області</t>
  </si>
  <si>
    <t>"Додаток 1</t>
  </si>
  <si>
    <t>від 14 грудня  2023 року</t>
  </si>
  <si>
    <t>(пункт 1)"</t>
  </si>
  <si>
    <t>Ігор ЧУГУННИКОВ</t>
  </si>
  <si>
    <t>(пункти 1.1)</t>
  </si>
  <si>
    <t>"Додаток 2</t>
  </si>
  <si>
    <t>(пункт 2)"</t>
  </si>
  <si>
    <t>№ 1604- VIІІ</t>
  </si>
  <si>
    <t xml:space="preserve">Секретар Южненської міської ради                                                                                                       Ігор ЧУГУННИКОВ                                                         </t>
  </si>
  <si>
    <t>Додаток 5</t>
  </si>
  <si>
    <t>від 14 грудня 2023 року</t>
  </si>
  <si>
    <t xml:space="preserve">Секретар Южненської міської ради                                                                                                                                Ігор ЧУГУННИКОВ                                                         </t>
  </si>
  <si>
    <t>(пункти 1.2)</t>
  </si>
  <si>
    <t>(пункти 1.3, 1.4)</t>
  </si>
  <si>
    <t>(пункти 1.5)</t>
  </si>
  <si>
    <t>"Додаток 7</t>
  </si>
  <si>
    <t xml:space="preserve">Інша діяльність у сфері державного управління </t>
  </si>
  <si>
    <t>Про затвердження програми "Поліцейський офіцер громади" Южненської міської територіальної громади на 2022-2024 роки</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</si>
  <si>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областіна 2024-2026 роки</t>
  </si>
  <si>
    <t xml:space="preserve">Рішення ЮМР від 09.12.2021 року № 834-VIІІ з внесеними змінами  від  29.03.2024 року № 1682 -VIII, шляхом викладення  у новій редакції  </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</si>
  <si>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</si>
  <si>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</si>
  <si>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Дотації з місцевих бюджетів іншим місцевим бюджетам</t>
  </si>
  <si>
    <t>Інші дотації з місцевого бюджету</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</si>
  <si>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</si>
  <si>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</si>
  <si>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</si>
  <si>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</si>
  <si>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</si>
  <si>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r>
      <t>Будівництво</t>
    </r>
    <r>
      <rPr>
        <sz val="12"/>
        <color rgb="FF333333"/>
        <rFont val="Times New Roman"/>
        <family val="1"/>
        <charset val="204"/>
      </rPr>
      <t>  установ та закладів культури</t>
    </r>
  </si>
  <si>
    <t>41057700</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</si>
  <si>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</si>
  <si>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</si>
  <si>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Будівництво установ та закладів культури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</si>
  <si>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</si>
  <si>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</si>
  <si>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 xml:space="preserve">                                                                                                  "Додаток 5</t>
  </si>
  <si>
    <t xml:space="preserve">                                                                                                                            до рішення Южненської міської ради</t>
  </si>
  <si>
    <t xml:space="preserve">                                                                                                                         "Про  бюджет Южненської міської </t>
  </si>
  <si>
    <t xml:space="preserve">                                                                                                                           територіальної громади  на 2024 рік"</t>
  </si>
  <si>
    <r>
      <t xml:space="preserve">                                                                                                          </t>
    </r>
    <r>
      <rPr>
        <u/>
        <sz val="12"/>
        <rFont val="Times New Roman"/>
        <family val="1"/>
        <charset val="204"/>
      </rPr>
      <t>від 14 грудня  2023 року</t>
    </r>
  </si>
  <si>
    <t xml:space="preserve">                                                                                                   Додаток 4</t>
  </si>
  <si>
    <t>Рішення ЮМР від 07.03.2023 року № 1299-VIIІ з внесеними змінами від 06.06.2024 року № 1732-VIII, шляхом викладення у новій редакції</t>
  </si>
  <si>
    <t>Рішення ЮМР від 22.07.2021 року №480-VIІІ з внесеними змінами від 04.05.2023 року № 1325-VIII,  шляхом викладення  у новій редакції</t>
  </si>
  <si>
    <t>Рішення ЮМР від 26.10.2023 року № 1511-VIIІ з внесеними змінами від 29.03.2024 року № 1716-VIII, шляхом викладення у новій редакції</t>
  </si>
  <si>
    <t>Рішення ЮМР від 22.07.2021 року № 476-VІІІ з внесеними змінами від 06.06.2024 року  № 1728-VIIІ, шляхом викладення у новій редакції</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</si>
  <si>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</si>
  <si>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</si>
  <si>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Рішення ЮМР від 13.07.2023 року № 1402-VIIІ</t>
  </si>
  <si>
    <t xml:space="preserve">Рішення ЮМР від 22.07.2021 року № 474-VІІІ з внесеними змінами  від  06.06.2024 року № 1729-VІІІ,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</si>
  <si>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</si>
  <si>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Екологічна програма заходів з охорони навколишнього природного середовища Южненської міської територіальної громади на 2024-2026 роки</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</si>
  <si>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</si>
  <si>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</si>
  <si>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</si>
  <si>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</si>
  <si>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</si>
  <si>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</si>
  <si>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Додаток 6</t>
  </si>
  <si>
    <t>(пункт 1.2)</t>
  </si>
  <si>
    <t>"Додаток  8</t>
  </si>
  <si>
    <t xml:space="preserve">"Про бюджет  Южненської міської  </t>
  </si>
  <si>
    <t>від  14  грудня  2023 року</t>
  </si>
  <si>
    <t>(пункт 5)"</t>
  </si>
  <si>
    <t xml:space="preserve">Розподіл коштів бюджету розвитку на  2024 рік </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</si>
  <si>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</si>
  <si>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</si>
  <si>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</si>
  <si>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</si>
  <si>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</si>
  <si>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</si>
  <si>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</si>
  <si>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</si>
  <si>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</si>
  <si>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</si>
  <si>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</si>
  <si>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</si>
  <si>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4</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</si>
  <si>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</si>
  <si>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</si>
  <si>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</si>
  <si>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</si>
  <si>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</si>
  <si>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</si>
  <si>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</si>
  <si>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Інші заходи у сфері зв'язку, телекомунікації та інформатики</t>
  </si>
  <si>
    <t xml:space="preserve">Видатки на проведення експертної грошової оцінки земельних ділянок, що підлягають продажу </t>
  </si>
  <si>
    <t>9800</t>
  </si>
  <si>
    <t>Капітальні трансферти органам державного управління інших рівнів</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</si>
  <si>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</si>
  <si>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</si>
  <si>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</si>
  <si>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1511021</t>
  </si>
  <si>
    <t>2023-2024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</si>
  <si>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</si>
  <si>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</si>
  <si>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проектні роботи</t>
  </si>
  <si>
    <t>2024 рік</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</si>
  <si>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</si>
  <si>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</si>
  <si>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</si>
  <si>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</si>
  <si>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2021-2024 роки</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</si>
  <si>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</si>
  <si>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2020,2023-2024 роки</t>
  </si>
  <si>
    <t xml:space="preserve">проектні роботи </t>
  </si>
  <si>
    <t>коригування проектної документації</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</si>
  <si>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</si>
  <si>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</si>
  <si>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</si>
  <si>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</si>
  <si>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проектно-вишукувальні роботи</t>
  </si>
  <si>
    <t>коригування проектно-вишукувальної документації</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</si>
  <si>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</si>
  <si>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</si>
  <si>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</si>
  <si>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 xml:space="preserve"> проектні роботи</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</si>
  <si>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</si>
  <si>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</si>
  <si>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</si>
  <si>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</si>
  <si>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</si>
  <si>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</si>
  <si>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</si>
  <si>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</si>
  <si>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</si>
  <si>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</si>
  <si>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Проєктні роботи "Нове будівництво ТП та електричних мереж від ГПП "Сичавка" у мікрорайоні 1.7 м.Южного Одеської області"</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</si>
  <si>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</si>
  <si>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</si>
  <si>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</si>
  <si>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</si>
  <si>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2019-2024 роки</t>
  </si>
  <si>
    <t>х</t>
  </si>
  <si>
    <t xml:space="preserve">Секретар Южненської міської ради                                                                                                                                                       Ігор ЧУГУННИКОВ                                                         </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</si>
  <si>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безпосереденьо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19 - 20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</si>
  <si>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</si>
  <si>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</si>
  <si>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1060</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</si>
  <si>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</si>
  <si>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Капітальні трансферти населенню</t>
  </si>
  <si>
    <t>0218110</t>
  </si>
  <si>
    <t>Інші субвенції з місцевого бюджету</t>
  </si>
  <si>
    <t>Охорона та раціональне використання природних ресурсів</t>
  </si>
  <si>
    <t>0511</t>
  </si>
  <si>
    <t>2719770</t>
  </si>
  <si>
    <t>Інші субвенції  з місцевого бюджету</t>
  </si>
  <si>
    <t>Капітальні трансферти підприємствам (установам, організаціям)</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</si>
  <si>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 в т.ч.:</t>
  </si>
  <si>
    <t xml:space="preserve">коригування проектної документації </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</si>
  <si>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</si>
  <si>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'Забезпечення діяльності з виробництва, транспортування, постачання теплової енергії</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</si>
  <si>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</si>
  <si>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</si>
  <si>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</si>
  <si>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1518110</t>
  </si>
  <si>
    <t>8110</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</si>
  <si>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рериторіальної громади на 2023-2025 роки</t>
  </si>
  <si>
    <t>Програма підвищення ефективності діяльності підрозділів Одеського прикордонного  загону на 2022-2024 роки</t>
  </si>
  <si>
    <t>Програма з локалізації та ліквідації амброзії полинолистної на території Южненської міської територіальної громади на 2020-2024 роки.</t>
  </si>
  <si>
    <t>Рішення Южненської міської ради від 14.12.2023 року № 1578-VIIІ</t>
  </si>
  <si>
    <t>1516013</t>
  </si>
  <si>
    <t xml:space="preserve"> 
Забезпечення діяльності водопровідно-каналізаційного господарства</t>
  </si>
  <si>
    <t xml:space="preserve"> 
Інші субвенції з місцевого бюджету</t>
  </si>
  <si>
    <t>Програма фінансової підтримки Одеської районої ради Одеської області на 2024 рік</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</si>
  <si>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</si>
  <si>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</si>
  <si>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 xml:space="preserve">Рішення ЮМР від 28.10.2022 року            № 1091-VIIІ  з внесеними змінами  від     28.08.2024 року №  1830 -VIII, шляхом викладення  у новій редакції  </t>
  </si>
  <si>
    <t xml:space="preserve">Рішення ЮМР від 23.08.2023 року № 1433- VIIІ з внесеними змінами  від     29.08.2024 року №  1826 -VIII, шляхом викладення  у новій редакції  </t>
  </si>
  <si>
    <t xml:space="preserve">Рішення ЮМР від 01.12.2022 року № 1170-VIІІ з внесеними змінами  від  29.08.2024 року №  1840 -VIII, шляхом викладення  у новій редакції  </t>
  </si>
  <si>
    <t xml:space="preserve">Рішення ЮМР від 13.07.2023 року № 1401-VIІI з внесеними змінами  від  29.08.2024 року № 1814-VIII, шляхом викладення  у новій редакції  </t>
  </si>
  <si>
    <t xml:space="preserve">Рішення Южненської міської ради від 20.08.2020 року № 1828-VII з внесеними змінами  від  29.08.2024 року №   1853-VIII, шляхом викладення  у новій редакції  </t>
  </si>
  <si>
    <t xml:space="preserve">Рішення Южненської міської ради від      29.08.2024 року № 1808 -VIIІ </t>
  </si>
  <si>
    <r>
      <t xml:space="preserve">                                                                                     </t>
    </r>
    <r>
      <rPr>
        <u/>
        <sz val="12"/>
        <rFont val="Times New Roman"/>
        <family val="1"/>
        <charset val="204"/>
      </rPr>
      <t xml:space="preserve"> № 1604-VIІІ</t>
    </r>
  </si>
  <si>
    <t xml:space="preserve">                                          (пункт 3)"</t>
  </si>
  <si>
    <t xml:space="preserve">                                                                                    до  рішення Южненської міської ради</t>
  </si>
  <si>
    <t xml:space="preserve">                                                                                                   (пункти 1.1)</t>
  </si>
  <si>
    <t>Проектні роботи: "Капітальний ремонт покрівлі будівлі АБК і РММ на котельні за адресою: вул. Старомиколаївське шосе, 8 м. Южного Одеського району Одеської області"</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</si>
  <si>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</si>
  <si>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Реконструкція системи газопостачання в Сичавському будинку культури Одеського району Одеської області, за адресою: с. Сичавка, вул.Цветаєва 2А, в т.ч.:</t>
  </si>
  <si>
    <t>Капітальний ремонт проїжджої частини вул. Приморської від вул. Будівельників до просп. Григорівського десанту м. Южного Одеської області, в т.ч.:</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</si>
  <si>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</si>
  <si>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в т.ч.: </t>
  </si>
  <si>
    <t>Програма розвитку цивільного захисту, техногенної та пожежної безпеки Южненської міської територіальної громади на 2022-2026 роки</t>
  </si>
  <si>
    <t>0611181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</si>
  <si>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</si>
  <si>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</si>
  <si>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</si>
  <si>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</si>
  <si>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</si>
  <si>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Субвенція з місцевого бюджету на виконання інвестиційних проектів</t>
  </si>
  <si>
    <t>Рішення ЮМР від 30.09.2021 року № 604-VIІІ з внесеними змінами  від  29.08.2024 року № 1846 -VIII, шляхом викладення  у новій редакції</t>
  </si>
  <si>
    <t xml:space="preserve">Рішення ЮМР від 14.12.2023 року № 1567-VIIІ з внесеними змінами  від     29.08.2024 року № 1849-VIII, шляхом викладення  у новій редакції  </t>
  </si>
  <si>
    <t>Управління освіти Южненської міської ради Одеського району Одеської області</t>
  </si>
  <si>
    <t>Проєктні роботи: "Капітальний ремонт системи вентиляції в приміщеннях найпростішого укриття № LXXIV, LXXIII, LXXXV, LXXXIV, LXXX, LXXXVI, LXXXIII, LXXVI, LXXIX, що використовується для укриття учасників освітнього процесу опорного закладу "Ліцей №2" за адресою: Одеська область, Одеській район, м.Южне, проспект Миру, 18"</t>
  </si>
  <si>
    <t>у т.ч.</t>
  </si>
  <si>
    <t>Субвенція</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</si>
  <si>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</si>
  <si>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</si>
  <si>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</si>
  <si>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</si>
  <si>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</si>
  <si>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Субвенція з державного бюджету місцевим бюджетам на забезпечення харчуванням учнів початкових класів закладів загальної середьої освіти</t>
  </si>
  <si>
    <t>1216014</t>
  </si>
  <si>
    <t>6014</t>
  </si>
  <si>
    <t>від   14.10.2024 року</t>
  </si>
  <si>
    <t>№  1908 -VIII</t>
  </si>
  <si>
    <t xml:space="preserve">                                                                                                  від   14.10.2024 року</t>
  </si>
  <si>
    <t xml:space="preserve">                                                                                                  №  1908 -VIII</t>
  </si>
  <si>
    <t>Рішення ЮМР від 23.08.2023 року № 1431- VIIІ з внесеними змінами від  14.10.2024 року № 1896-VIIІ, шляхом викладення у новій редакції</t>
  </si>
  <si>
    <t xml:space="preserve">Рішення ЮМР від 28.10.2022 року           №1092-VIIІ з внесеними змінами  від   14.10.2024 року №  1897-VIII, шляхом викладення  у новій редакції  </t>
  </si>
  <si>
    <t>Рішення ЮМР від 28.10.2022 року № 1121-VIIІ з внесеними змінами від        14.10.2024 року № 1898-VIII, шляхом викладення у новій редакції</t>
  </si>
  <si>
    <t xml:space="preserve">Рішення ЮМР від 22.09.2022 року № 1078-VIІІ з внесеними змінами  від     14.10.2024 року №  1899-VIII, шляхом викладення  у новій редакції  </t>
  </si>
  <si>
    <t xml:space="preserve">Рішення ЮМР від 04.03.2022 року № 948-VIІІ з внесеними змінами  від  14.10.2024 року №  1900-VIII,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</si>
  <si>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</si>
  <si>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22.07.2021 року № 470-VІІІ з внесеними змінами  від   14.10.2024 року № 1905-VIII, шляхом викладення  у новій редакції  </t>
  </si>
  <si>
    <t xml:space="preserve">Рішення Южненської міської ради від 19.09.2019 року № 1529-VII, з внесеними змінами  від  14.10.2024 року № 1904-VIII, шляхом викладення  у новій редакції  </t>
  </si>
  <si>
    <t xml:space="preserve">Рішення ЮМР від 29.03.2024 року № 1680-VIІІ  </t>
  </si>
  <si>
    <t xml:space="preserve">Рішення ЮМР від 23.12.2021 року  №  900-VIIІ  з внесеними змінами  від  29.08.2024 року № 1836-VIII,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</si>
  <si>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</si>
  <si>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</si>
  <si>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13.07.2023 року № 1404-VIIІ з внесеними змінами  від  14.10.2024 року № 1893 -VIII, шляхом викладення  у новій редакції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</si>
</sst>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quot;"/>
    <numFmt numFmtId="165" formatCode="_-* #,##0.00\ _г_р_н_._-;\-* #,##0.00\ _г_р_н_._-;_-* &quot;-&quot;??\ _г_р_н_._-;_-@_-"/>
    <numFmt numFmtId="166" formatCode="#,##0.00;[Red]#,##0.00"/>
    <numFmt numFmtId="167" formatCode="#,##0.00;\-#,##0.00;#,&quot;-&quot;"/>
    <numFmt numFmtId="168" formatCode="_-* #,##0\ _г_р_н_._-;\-* #,##0\ _г_р_н_._-;_-* &quot;-&quot;??\ _г_р_н_._-;_-@_-"/>
    <numFmt numFmtId="169" formatCode="0.0%"/>
  </numFmts>
  <fonts count="47"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sz val="12"/>
      <color rgb="FFFF0000"/>
      <name val="Times New Roman"/>
      <family val="1"/>
      <charset val="204"/>
    </font>
    <font>
      <b/>
      <i/>
      <sz val="12"/>
      <name val="Times New Roman"/>
      <family val="1"/>
      <charset val="204"/>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sz val="12"/>
      <name val="Arial Cyr"/>
      <charset val="204"/>
    </font>
    <font>
      <sz val="14"/>
      <color theme="1"/>
      <name val="Calibri"/>
      <family val="2"/>
      <charset val="204"/>
      <scheme val="minor"/>
    </font>
    <font>
      <sz val="12"/>
      <color rgb="FF333333"/>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i/>
      <sz val="14"/>
      <name val="Times New Roman"/>
      <family val="1"/>
      <charset val="204"/>
    </font>
    <font>
      <sz val="16"/>
      <name val="Times New Roman"/>
      <family val="1"/>
      <charset val="204"/>
    </font>
    <font>
      <sz val="14"/>
      <name val="Times New Roman"/>
      <family val="1"/>
      <charset val="204"/>
    </font>
    <font>
      <i/>
      <sz val="16"/>
      <color theme="1"/>
      <name val="Times New Roman"/>
      <family val="1"/>
      <charset val="204"/>
    </font>
    <font>
      <i/>
      <sz val="14"/>
      <color theme="1"/>
      <name val="Times New Roman"/>
      <family val="1"/>
      <charset val="204"/>
    </font>
    <font>
      <sz val="16"/>
      <color theme="1"/>
      <name val="Calibri"/>
      <family val="2"/>
      <charset val="204"/>
      <scheme val="minor"/>
    </font>
    <font>
      <sz val="14"/>
      <color rgb="FF333333"/>
      <name val="Times New Roman"/>
      <family val="1"/>
      <charset val="204"/>
    </font>
    <font>
      <b/>
      <sz val="16"/>
      <color indexed="8"/>
      <name val="Times New Roman"/>
      <family val="1"/>
      <charset val="204"/>
    </font>
    <font>
      <sz val="16"/>
      <color rgb="FF000000"/>
      <name val="Times New Roman"/>
      <family val="1"/>
      <charset val="204"/>
    </font>
    <font>
      <sz val="10"/>
      <color rgb="FF333333"/>
      <name val="Times New Roman"/>
      <family val="1"/>
      <charset val="204"/>
    </font>
    <font>
      <sz val="16"/>
      <color rgb="FF333333"/>
      <name val="Times New Roman"/>
      <family val="1"/>
      <charset val="204"/>
    </font>
    <font>
      <b/>
      <u/>
      <sz val="12"/>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165" fontId="10" fillId="0" borderId="0" applyFont="0" applyFill="0" applyBorder="0" applyAlignment="0" applyProtection="0"/>
    <xf numFmtId="0" fontId="11" fillId="0" borderId="0"/>
    <xf numFmtId="0" fontId="10" fillId="0" borderId="0"/>
    <xf numFmtId="9" fontId="11" fillId="0" borderId="0" applyFont="0" applyFill="0" applyBorder="0" applyAlignment="0" applyProtection="0"/>
  </cellStyleXfs>
  <cellXfs count="921">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2" borderId="27" xfId="0" applyFont="1" applyFill="1" applyBorder="1" applyAlignment="1">
      <alignment horizontal="center" vertical="center" wrapText="1"/>
    </xf>
    <xf numFmtId="164" fontId="6" fillId="2" borderId="15" xfId="0" applyNumberFormat="1" applyFont="1" applyFill="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164" fontId="5" fillId="2" borderId="12" xfId="0" applyNumberFormat="1" applyFont="1" applyFill="1" applyBorder="1" applyAlignment="1">
      <alignment horizontal="right" vertical="center"/>
    </xf>
    <xf numFmtId="164" fontId="8" fillId="2" borderId="18" xfId="0" applyNumberFormat="1" applyFont="1" applyFill="1" applyBorder="1" applyAlignment="1">
      <alignment horizontal="right" vertical="center"/>
    </xf>
    <xf numFmtId="164" fontId="8" fillId="2" borderId="7"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9" xfId="0" applyFont="1" applyBorder="1" applyAlignment="1">
      <alignment horizontal="center" vertical="center" wrapText="1"/>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164" fontId="5" fillId="2" borderId="21" xfId="0" applyNumberFormat="1" applyFont="1" applyFill="1" applyBorder="1" applyAlignment="1">
      <alignment horizontal="right" vertic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3" fontId="16" fillId="2" borderId="0" xfId="0" applyNumberFormat="1" applyFont="1" applyFill="1" applyAlignment="1">
      <alignment horizontal="left" vertical="center"/>
    </xf>
    <xf numFmtId="2" fontId="15" fillId="2" borderId="0" xfId="0" applyNumberFormat="1" applyFont="1" applyFill="1" applyAlignment="1">
      <alignment horizontal="left" vertical="center"/>
    </xf>
    <xf numFmtId="166" fontId="17" fillId="2" borderId="0" xfId="0" applyNumberFormat="1" applyFont="1" applyFill="1"/>
    <xf numFmtId="164" fontId="5" fillId="2" borderId="0" xfId="0" applyNumberFormat="1" applyFont="1" applyFill="1"/>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13" fillId="0" borderId="0" xfId="0" applyFont="1"/>
    <xf numFmtId="0" fontId="5" fillId="2" borderId="35"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19" fillId="2" borderId="0" xfId="0" applyFont="1" applyFill="1" applyBorder="1" applyAlignment="1"/>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left" vertical="center"/>
    </xf>
    <xf numFmtId="0" fontId="7" fillId="0" borderId="0" xfId="0" applyFont="1" applyAlignment="1">
      <alignment horizontal="left" vertical="top" wrapText="1"/>
    </xf>
    <xf numFmtId="0" fontId="6" fillId="0" borderId="1" xfId="0" applyFont="1" applyBorder="1" applyAlignment="1">
      <alignment vertical="center" wrapText="1"/>
    </xf>
    <xf numFmtId="164" fontId="6" fillId="2"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4" fontId="0" fillId="0" borderId="0" xfId="0" applyNumberFormat="1"/>
    <xf numFmtId="0" fontId="23" fillId="0" borderId="1" xfId="0" applyFont="1" applyBorder="1" applyAlignment="1">
      <alignment vertical="center" wrapText="1"/>
    </xf>
    <xf numFmtId="164" fontId="23" fillId="2" borderId="1" xfId="0" applyNumberFormat="1" applyFont="1" applyFill="1" applyBorder="1" applyAlignment="1">
      <alignment horizontal="right" vertical="center"/>
    </xf>
    <xf numFmtId="0" fontId="5" fillId="0" borderId="1" xfId="0" applyFont="1" applyBorder="1" applyAlignment="1">
      <alignment vertical="center" wrapText="1"/>
    </xf>
    <xf numFmtId="164" fontId="23"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23" fillId="2" borderId="10" xfId="0" applyNumberFormat="1" applyFont="1" applyFill="1" applyBorder="1" applyAlignment="1">
      <alignment horizontal="right"/>
    </xf>
    <xf numFmtId="164" fontId="23" fillId="2" borderId="10" xfId="0" applyNumberFormat="1" applyFont="1" applyFill="1" applyBorder="1" applyAlignment="1">
      <alignment horizontal="right" vertical="center"/>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23" fillId="2" borderId="16" xfId="0" applyNumberFormat="1" applyFont="1" applyFill="1" applyBorder="1" applyAlignment="1">
      <alignment horizontal="right"/>
    </xf>
    <xf numFmtId="0" fontId="7" fillId="0" borderId="0" xfId="0" applyFont="1" applyAlignment="1">
      <alignment vertical="top"/>
    </xf>
    <xf numFmtId="0" fontId="25" fillId="0" borderId="0" xfId="0" applyFont="1" applyAlignment="1">
      <alignment horizontal="left" vertical="center"/>
    </xf>
    <xf numFmtId="0" fontId="7" fillId="0" borderId="0" xfId="0" applyFont="1" applyAlignment="1">
      <alignment horizontal="left" vertical="center" wrapText="1"/>
    </xf>
    <xf numFmtId="3" fontId="25"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center"/>
    </xf>
    <xf numFmtId="0" fontId="1" fillId="0" borderId="37" xfId="0" applyFont="1" applyBorder="1" applyAlignment="1">
      <alignment horizontal="center" vertical="top" wrapText="1"/>
    </xf>
    <xf numFmtId="0" fontId="1" fillId="0" borderId="39" xfId="0" applyFont="1" applyBorder="1" applyAlignment="1">
      <alignment horizontal="center" vertical="top" wrapText="1"/>
    </xf>
    <xf numFmtId="0" fontId="5" fillId="0" borderId="35" xfId="0" applyFont="1" applyBorder="1" applyAlignment="1">
      <alignment horizontal="center" vertical="top" wrapText="1"/>
    </xf>
    <xf numFmtId="0" fontId="5" fillId="0" borderId="41" xfId="0" applyFont="1" applyBorder="1" applyAlignment="1">
      <alignment horizontal="center" vertical="top" wrapText="1"/>
    </xf>
    <xf numFmtId="0" fontId="21" fillId="0" borderId="35" xfId="0" applyFont="1" applyBorder="1" applyAlignment="1">
      <alignment horizontal="center" vertical="center"/>
    </xf>
    <xf numFmtId="3" fontId="6" fillId="0" borderId="41" xfId="0" applyNumberFormat="1" applyFont="1" applyBorder="1" applyAlignment="1">
      <alignment horizontal="center" vertical="center"/>
    </xf>
    <xf numFmtId="3" fontId="5" fillId="0" borderId="41" xfId="0" applyNumberFormat="1" applyFont="1" applyBorder="1" applyAlignment="1">
      <alignment horizontal="center"/>
    </xf>
    <xf numFmtId="0" fontId="6" fillId="0" borderId="34"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3" fontId="6" fillId="0" borderId="36" xfId="0" applyNumberFormat="1" applyFont="1" applyBorder="1" applyAlignment="1">
      <alignment horizontal="center" vertical="center"/>
    </xf>
    <xf numFmtId="0" fontId="5" fillId="0" borderId="34" xfId="0" applyFont="1" applyBorder="1" applyAlignment="1">
      <alignment horizontal="center" vertical="center"/>
    </xf>
    <xf numFmtId="3" fontId="5" fillId="0" borderId="36" xfId="0" applyNumberFormat="1" applyFont="1" applyBorder="1" applyAlignment="1">
      <alignment horizontal="center" vertical="center"/>
    </xf>
    <xf numFmtId="0" fontId="13" fillId="0" borderId="9" xfId="0" applyFont="1" applyBorder="1" applyAlignment="1">
      <alignment horizontal="center" vertical="center"/>
    </xf>
    <xf numFmtId="3" fontId="13" fillId="0" borderId="10" xfId="0" applyNumberFormat="1" applyFont="1" applyBorder="1" applyAlignment="1">
      <alignment horizontal="center" vertical="center" wrapText="1"/>
    </xf>
    <xf numFmtId="0" fontId="26"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28" xfId="0" applyNumberFormat="1" applyFont="1" applyBorder="1" applyAlignment="1">
      <alignment horizontal="center" vertical="center" wrapText="1"/>
    </xf>
    <xf numFmtId="164" fontId="5" fillId="0" borderId="41" xfId="0" applyNumberFormat="1" applyFont="1" applyBorder="1" applyAlignment="1">
      <alignment horizontal="center" vertical="center"/>
    </xf>
    <xf numFmtId="167" fontId="6" fillId="0" borderId="36" xfId="0" applyNumberFormat="1" applyFont="1" applyBorder="1" applyAlignment="1">
      <alignment horizontal="center" vertical="center"/>
    </xf>
    <xf numFmtId="0" fontId="0" fillId="2" borderId="0" xfId="0" applyFill="1"/>
    <xf numFmtId="0" fontId="6" fillId="0" borderId="3" xfId="0" applyFont="1" applyBorder="1" applyAlignment="1">
      <alignment horizontal="left" vertical="center"/>
    </xf>
    <xf numFmtId="3" fontId="6" fillId="0" borderId="36" xfId="0" applyNumberFormat="1" applyFont="1" applyBorder="1" applyAlignment="1">
      <alignment horizontal="center"/>
    </xf>
    <xf numFmtId="0" fontId="5" fillId="0" borderId="42" xfId="0" applyFont="1" applyBorder="1" applyAlignment="1">
      <alignment horizontal="left"/>
    </xf>
    <xf numFmtId="0" fontId="5" fillId="0" borderId="43"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1" xfId="0" applyFont="1" applyBorder="1" applyAlignment="1">
      <alignment horizontal="left"/>
    </xf>
    <xf numFmtId="0" fontId="20"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4" xfId="0" applyFont="1" applyBorder="1" applyAlignment="1">
      <alignment horizontal="left" vertical="center"/>
    </xf>
    <xf numFmtId="164" fontId="6" fillId="0" borderId="22" xfId="0" applyNumberFormat="1" applyFont="1" applyBorder="1" applyAlignment="1">
      <alignment horizontal="center"/>
    </xf>
    <xf numFmtId="0" fontId="13" fillId="0" borderId="0" xfId="0" applyFont="1" applyAlignment="1">
      <alignment horizontal="left"/>
    </xf>
    <xf numFmtId="0" fontId="18" fillId="0" borderId="0" xfId="0" applyFont="1" applyAlignment="1">
      <alignment horizontal="left"/>
    </xf>
    <xf numFmtId="3" fontId="18" fillId="0" borderId="0" xfId="0" applyNumberFormat="1" applyFont="1" applyAlignment="1">
      <alignment horizontal="left"/>
    </xf>
    <xf numFmtId="2" fontId="13" fillId="0" borderId="0" xfId="0" applyNumberFormat="1" applyFont="1" applyAlignment="1">
      <alignment horizontal="left"/>
    </xf>
    <xf numFmtId="0" fontId="21" fillId="0" borderId="0" xfId="0" applyFont="1"/>
    <xf numFmtId="0" fontId="22" fillId="0" borderId="0" xfId="0" applyFont="1"/>
    <xf numFmtId="0" fontId="27" fillId="0" borderId="0" xfId="0" applyFont="1"/>
    <xf numFmtId="164" fontId="5" fillId="0" borderId="1" xfId="0" applyNumberFormat="1" applyFont="1" applyBorder="1" applyAlignment="1">
      <alignment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0" fontId="6" fillId="0" borderId="35" xfId="0" applyFont="1" applyBorder="1" applyAlignment="1">
      <alignment horizontal="center"/>
    </xf>
    <xf numFmtId="3" fontId="6" fillId="0" borderId="41" xfId="0" applyNumberFormat="1" applyFont="1" applyBorder="1" applyAlignment="1">
      <alignment horizontal="center"/>
    </xf>
    <xf numFmtId="49" fontId="6" fillId="0" borderId="11" xfId="0" applyNumberFormat="1" applyFont="1" applyFill="1" applyBorder="1" applyAlignment="1">
      <alignment horizontal="center" vertical="center"/>
    </xf>
    <xf numFmtId="0" fontId="6" fillId="0" borderId="12" xfId="0" applyFont="1" applyFill="1" applyBorder="1" applyAlignment="1">
      <alignment horizontal="centerContinuous" vertical="center"/>
    </xf>
    <xf numFmtId="0" fontId="6" fillId="0" borderId="12" xfId="0" applyFont="1" applyFill="1" applyBorder="1" applyAlignment="1">
      <alignment horizontal="center" vertical="center" wrapText="1"/>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2" xfId="0" applyFont="1" applyFill="1" applyBorder="1" applyAlignment="1">
      <alignment horizontal="left"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0" fontId="0" fillId="0" borderId="0" xfId="0" applyAlignment="1"/>
    <xf numFmtId="49" fontId="7" fillId="0" borderId="0" xfId="0" applyNumberFormat="1" applyFont="1" applyAlignment="1">
      <alignment horizontal="left" vertical="center"/>
    </xf>
    <xf numFmtId="0" fontId="7" fillId="0" borderId="0" xfId="0" applyFont="1" applyFill="1" applyBorder="1" applyAlignment="1">
      <alignment horizontal="left"/>
    </xf>
    <xf numFmtId="0" fontId="5" fillId="0" borderId="40" xfId="0" applyFont="1" applyFill="1" applyBorder="1" applyAlignment="1">
      <alignment horizontal="left" vertical="center" wrapText="1"/>
    </xf>
    <xf numFmtId="164" fontId="15" fillId="0" borderId="0" xfId="0" applyNumberFormat="1" applyFont="1" applyAlignment="1">
      <alignment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9" xfId="0" applyFont="1" applyBorder="1" applyAlignment="1">
      <alignment vertical="center" wrapText="1"/>
    </xf>
    <xf numFmtId="164" fontId="6" fillId="0" borderId="10" xfId="0" applyNumberFormat="1" applyFont="1" applyBorder="1" applyAlignment="1">
      <alignment horizontal="right" vertical="center"/>
    </xf>
    <xf numFmtId="0" fontId="23" fillId="0" borderId="9" xfId="0" applyFont="1" applyBorder="1" applyAlignment="1">
      <alignment vertical="center" wrapText="1"/>
    </xf>
    <xf numFmtId="0" fontId="5" fillId="0" borderId="9" xfId="0" applyFont="1" applyBorder="1" applyAlignment="1">
      <alignment vertical="center" wrapText="1"/>
    </xf>
    <xf numFmtId="164" fontId="23" fillId="0" borderId="10" xfId="0" applyNumberFormat="1" applyFont="1" applyBorder="1" applyAlignment="1">
      <alignment horizontal="right" vertical="center"/>
    </xf>
    <xf numFmtId="0" fontId="6" fillId="0" borderId="9" xfId="0" applyFont="1" applyBorder="1" applyAlignment="1">
      <alignment horizontal="left" vertical="center" wrapText="1"/>
    </xf>
    <xf numFmtId="0" fontId="23" fillId="0" borderId="9" xfId="0" applyFont="1" applyBorder="1" applyAlignment="1">
      <alignment horizontal="left" vertical="center" wrapText="1"/>
    </xf>
    <xf numFmtId="164" fontId="6" fillId="0" borderId="10" xfId="0" applyNumberFormat="1" applyFont="1" applyBorder="1" applyAlignment="1">
      <alignment horizontal="center" vertical="center"/>
    </xf>
    <xf numFmtId="0" fontId="14" fillId="0" borderId="9" xfId="0"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vertical="center" wrapText="1"/>
    </xf>
    <xf numFmtId="164" fontId="6" fillId="0" borderId="21" xfId="0" applyNumberFormat="1" applyFont="1" applyBorder="1" applyAlignment="1">
      <alignment horizontal="right" vertical="center"/>
    </xf>
    <xf numFmtId="164" fontId="6" fillId="0" borderId="22" xfId="0" applyNumberFormat="1" applyFont="1" applyBorder="1" applyAlignment="1">
      <alignment horizontal="right" vertical="center"/>
    </xf>
    <xf numFmtId="164" fontId="8" fillId="2" borderId="1" xfId="0" applyNumberFormat="1" applyFont="1" applyFill="1" applyBorder="1" applyAlignment="1">
      <alignment horizontal="right" vertical="center" wrapText="1"/>
    </xf>
    <xf numFmtId="164" fontId="5"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quotePrefix="1" applyFont="1" applyFill="1" applyBorder="1" applyAlignment="1">
      <alignment vertical="center" wrapText="1"/>
    </xf>
    <xf numFmtId="164" fontId="8" fillId="2" borderId="7" xfId="0" applyNumberFormat="1" applyFont="1" applyFill="1" applyBorder="1" applyAlignment="1">
      <alignment vertical="center"/>
    </xf>
    <xf numFmtId="164" fontId="8" fillId="2" borderId="8" xfId="0" applyNumberFormat="1" applyFont="1" applyFill="1" applyBorder="1" applyAlignment="1">
      <alignment vertical="center"/>
    </xf>
    <xf numFmtId="49" fontId="7" fillId="0" borderId="0" xfId="0" applyNumberFormat="1" applyFont="1" applyBorder="1" applyAlignment="1">
      <alignment vertical="center"/>
    </xf>
    <xf numFmtId="49" fontId="13" fillId="0" borderId="35" xfId="0" applyNumberFormat="1" applyFont="1" applyBorder="1" applyAlignment="1">
      <alignment horizontal="center" vertical="center" wrapText="1"/>
    </xf>
    <xf numFmtId="3" fontId="13" fillId="0" borderId="41" xfId="0" applyNumberFormat="1" applyFont="1" applyBorder="1" applyAlignment="1">
      <alignment horizontal="center" vertical="center" wrapText="1"/>
    </xf>
    <xf numFmtId="0" fontId="7" fillId="0" borderId="34" xfId="0" applyFont="1" applyBorder="1" applyAlignment="1">
      <alignment horizontal="center" vertical="center"/>
    </xf>
    <xf numFmtId="0" fontId="5" fillId="2" borderId="18" xfId="0" quotePrefix="1" applyFont="1" applyFill="1" applyBorder="1" applyAlignment="1">
      <alignment vertical="center" wrapText="1"/>
    </xf>
    <xf numFmtId="49" fontId="7" fillId="0" borderId="17"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18" xfId="0" applyFont="1" applyFill="1" applyBorder="1" applyAlignment="1">
      <alignment vertical="center" wrapText="1"/>
    </xf>
    <xf numFmtId="49" fontId="7" fillId="0" borderId="9"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1" xfId="0" applyFont="1" applyFill="1" applyBorder="1" applyAlignment="1">
      <alignment vertical="center" wrapText="1"/>
    </xf>
    <xf numFmtId="0" fontId="5" fillId="0" borderId="34" xfId="0" applyFont="1" applyFill="1" applyBorder="1" applyAlignment="1">
      <alignment horizontal="center" vertical="center"/>
    </xf>
    <xf numFmtId="0" fontId="6" fillId="0" borderId="34" xfId="0" applyFont="1" applyFill="1" applyBorder="1" applyAlignment="1">
      <alignment horizontal="center" vertical="center"/>
    </xf>
    <xf numFmtId="0" fontId="29" fillId="0" borderId="0" xfId="0" applyFont="1"/>
    <xf numFmtId="0" fontId="29" fillId="0" borderId="0" xfId="0" applyFont="1" applyAlignment="1">
      <alignment horizontal="center" vertical="center"/>
    </xf>
    <xf numFmtId="49" fontId="29" fillId="0" borderId="0" xfId="0" applyNumberFormat="1" applyFont="1" applyAlignment="1">
      <alignment horizontal="center" vertical="center"/>
    </xf>
    <xf numFmtId="0" fontId="9" fillId="0" borderId="0" xfId="0" applyFont="1"/>
    <xf numFmtId="0" fontId="29" fillId="0" borderId="0" xfId="0" applyFont="1" applyAlignment="1">
      <alignment vertical="center"/>
    </xf>
    <xf numFmtId="0" fontId="29" fillId="0" borderId="0" xfId="0" applyFont="1" applyAlignment="1">
      <alignment horizontal="right" vertical="center"/>
    </xf>
    <xf numFmtId="9" fontId="29"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xf numFmtId="9" fontId="7" fillId="0" borderId="0" xfId="0" applyNumberFormat="1" applyFont="1"/>
    <xf numFmtId="9" fontId="29" fillId="0" borderId="2" xfId="0" applyNumberFormat="1" applyFont="1" applyBorder="1" applyAlignment="1">
      <alignment horizontal="right" vertical="center"/>
    </xf>
    <xf numFmtId="0" fontId="7" fillId="0" borderId="4" xfId="0" applyFont="1" applyBorder="1"/>
    <xf numFmtId="9" fontId="29" fillId="0" borderId="4" xfId="0" applyNumberFormat="1" applyFont="1" applyBorder="1" applyAlignment="1">
      <alignment horizontal="right" vertical="center"/>
    </xf>
    <xf numFmtId="0" fontId="7" fillId="2" borderId="0" xfId="0" applyFont="1" applyFill="1" applyAlignment="1">
      <alignment vertical="center"/>
    </xf>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47"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30" fillId="0" borderId="47" xfId="0" applyNumberFormat="1" applyFont="1" applyBorder="1" applyAlignment="1">
      <alignment horizontal="center" vertical="center"/>
    </xf>
    <xf numFmtId="49" fontId="30" fillId="0" borderId="15" xfId="0" applyNumberFormat="1" applyFont="1" applyBorder="1" applyAlignment="1">
      <alignment horizontal="center" vertical="center"/>
    </xf>
    <xf numFmtId="49" fontId="30" fillId="0" borderId="31" xfId="0" applyNumberFormat="1" applyFont="1" applyBorder="1" applyAlignment="1">
      <alignment horizontal="center" vertical="center"/>
    </xf>
    <xf numFmtId="0" fontId="15" fillId="0" borderId="15" xfId="0" applyFont="1" applyBorder="1" applyAlignment="1">
      <alignment vertical="center" wrapText="1"/>
    </xf>
    <xf numFmtId="0" fontId="30" fillId="3" borderId="15" xfId="0" applyFont="1" applyFill="1" applyBorder="1" applyAlignment="1">
      <alignment horizontal="center" vertical="center" wrapText="1"/>
    </xf>
    <xf numFmtId="49" fontId="30"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right" vertical="center" wrapText="1"/>
    </xf>
    <xf numFmtId="3" fontId="30" fillId="3" borderId="31" xfId="0" applyNumberFormat="1" applyFont="1" applyFill="1" applyBorder="1" applyAlignment="1">
      <alignment horizontal="right" vertical="center" wrapText="1"/>
    </xf>
    <xf numFmtId="168" fontId="30" fillId="2" borderId="31" xfId="0" applyNumberFormat="1" applyFont="1" applyFill="1" applyBorder="1" applyAlignment="1">
      <alignment horizontal="right" vertical="center" wrapText="1"/>
    </xf>
    <xf numFmtId="9" fontId="30" fillId="3" borderId="16" xfId="0" applyNumberFormat="1" applyFont="1" applyFill="1" applyBorder="1" applyAlignment="1">
      <alignment horizontal="right" vertical="center" wrapText="1"/>
    </xf>
    <xf numFmtId="49" fontId="34" fillId="0" borderId="26" xfId="0" applyNumberFormat="1" applyFont="1" applyBorder="1" applyAlignment="1">
      <alignment horizontal="center" vertical="center"/>
    </xf>
    <xf numFmtId="49" fontId="34" fillId="0" borderId="27" xfId="0" applyNumberFormat="1" applyFont="1" applyBorder="1" applyAlignment="1">
      <alignment horizontal="center" vertical="center"/>
    </xf>
    <xf numFmtId="0" fontId="35" fillId="0" borderId="27" xfId="0" applyFont="1" applyBorder="1" applyAlignment="1">
      <alignment vertical="center" wrapText="1"/>
    </xf>
    <xf numFmtId="0" fontId="30" fillId="3" borderId="27" xfId="0" applyFont="1" applyFill="1" applyBorder="1" applyAlignment="1">
      <alignment horizontal="center" vertical="center" wrapText="1"/>
    </xf>
    <xf numFmtId="49" fontId="30" fillId="3" borderId="27" xfId="0" applyNumberFormat="1" applyFont="1" applyFill="1" applyBorder="1" applyAlignment="1">
      <alignment horizontal="center" vertical="center" wrapText="1"/>
    </xf>
    <xf numFmtId="3" fontId="34" fillId="3" borderId="27" xfId="0" applyNumberFormat="1" applyFont="1" applyFill="1" applyBorder="1" applyAlignment="1">
      <alignment horizontal="right" vertical="center" wrapText="1"/>
    </xf>
    <xf numFmtId="3" fontId="34" fillId="3" borderId="32" xfId="0" applyNumberFormat="1" applyFont="1" applyFill="1" applyBorder="1" applyAlignment="1">
      <alignment horizontal="right" vertical="center" wrapText="1"/>
    </xf>
    <xf numFmtId="168" fontId="34" fillId="0" borderId="32" xfId="1" applyNumberFormat="1" applyFont="1" applyFill="1" applyBorder="1" applyAlignment="1">
      <alignment horizontal="right" vertical="center" wrapText="1"/>
    </xf>
    <xf numFmtId="9" fontId="34" fillId="3" borderId="28" xfId="0" applyNumberFormat="1" applyFont="1" applyFill="1" applyBorder="1" applyAlignment="1">
      <alignment horizontal="right" vertical="center" wrapText="1"/>
    </xf>
    <xf numFmtId="49" fontId="36" fillId="0" borderId="9" xfId="0" applyNumberFormat="1" applyFont="1" applyBorder="1" applyAlignment="1">
      <alignment horizontal="center" vertical="center"/>
    </xf>
    <xf numFmtId="49" fontId="36" fillId="0" borderId="1" xfId="0" applyNumberFormat="1" applyFont="1" applyBorder="1" applyAlignment="1">
      <alignment horizontal="center" vertical="center"/>
    </xf>
    <xf numFmtId="0" fontId="36" fillId="3" borderId="1" xfId="0" applyFont="1" applyFill="1" applyBorder="1" applyAlignment="1">
      <alignment horizontal="left" vertical="center" wrapText="1"/>
    </xf>
    <xf numFmtId="49" fontId="36" fillId="0" borderId="1" xfId="0" applyNumberFormat="1" applyFont="1" applyBorder="1" applyAlignment="1">
      <alignment horizontal="center" vertical="center" wrapText="1"/>
    </xf>
    <xf numFmtId="3" fontId="36" fillId="0" borderId="1" xfId="0" applyNumberFormat="1" applyFont="1" applyBorder="1" applyAlignment="1">
      <alignment horizontal="right" vertical="center" wrapText="1"/>
    </xf>
    <xf numFmtId="168" fontId="36" fillId="0" borderId="1" xfId="1" applyNumberFormat="1" applyFont="1" applyFill="1" applyBorder="1" applyAlignment="1">
      <alignment horizontal="right" vertical="center" wrapText="1"/>
    </xf>
    <xf numFmtId="9" fontId="36"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6" fillId="3" borderId="27" xfId="0" applyFont="1" applyFill="1" applyBorder="1" applyAlignment="1">
      <alignment horizontal="left" vertical="center" wrapText="1"/>
    </xf>
    <xf numFmtId="49" fontId="36" fillId="0" borderId="27" xfId="0" applyNumberFormat="1" applyFont="1" applyBorder="1" applyAlignment="1">
      <alignment horizontal="center" vertical="center" wrapText="1"/>
    </xf>
    <xf numFmtId="3" fontId="36" fillId="0" borderId="27" xfId="0" applyNumberFormat="1" applyFont="1" applyBorder="1" applyAlignment="1">
      <alignment horizontal="right" vertical="center" wrapText="1"/>
    </xf>
    <xf numFmtId="168" fontId="36" fillId="0" borderId="27" xfId="1" applyNumberFormat="1" applyFont="1" applyFill="1" applyBorder="1" applyAlignment="1">
      <alignment horizontal="right" vertical="center" wrapText="1"/>
    </xf>
    <xf numFmtId="9" fontId="36"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6" fillId="3" borderId="15" xfId="0" applyFont="1" applyFill="1" applyBorder="1" applyAlignment="1">
      <alignment horizontal="left" vertical="center" wrapText="1"/>
    </xf>
    <xf numFmtId="49" fontId="36" fillId="0" borderId="15" xfId="0" applyNumberFormat="1" applyFont="1" applyBorder="1" applyAlignment="1">
      <alignment horizontal="center" vertical="center" wrapText="1"/>
    </xf>
    <xf numFmtId="3" fontId="36" fillId="0" borderId="15" xfId="0" applyNumberFormat="1" applyFont="1" applyBorder="1" applyAlignment="1">
      <alignment horizontal="right" vertical="center" wrapText="1"/>
    </xf>
    <xf numFmtId="168" fontId="30" fillId="0" borderId="15" xfId="1" applyNumberFormat="1" applyFont="1" applyFill="1" applyBorder="1" applyAlignment="1">
      <alignment horizontal="right" vertical="center" wrapText="1"/>
    </xf>
    <xf numFmtId="9" fontId="36" fillId="0" borderId="16" xfId="0" applyNumberFormat="1" applyFont="1" applyBorder="1" applyAlignment="1">
      <alignment horizontal="right" vertical="center" wrapText="1"/>
    </xf>
    <xf numFmtId="0" fontId="38" fillId="2" borderId="17" xfId="0" applyFont="1" applyFill="1" applyBorder="1" applyAlignment="1">
      <alignment horizontal="center" vertical="center" wrapText="1"/>
    </xf>
    <xf numFmtId="0" fontId="38" fillId="2" borderId="18" xfId="0" applyFont="1" applyFill="1" applyBorder="1" applyAlignment="1">
      <alignment horizontal="center" vertical="center" wrapText="1"/>
    </xf>
    <xf numFmtId="0" fontId="39" fillId="2" borderId="18" xfId="0" quotePrefix="1" applyFont="1" applyFill="1" applyBorder="1" applyAlignment="1">
      <alignment vertical="center" wrapText="1"/>
    </xf>
    <xf numFmtId="0" fontId="36" fillId="3" borderId="18" xfId="0" applyFont="1" applyFill="1" applyBorder="1" applyAlignment="1">
      <alignment horizontal="left" vertical="center" wrapText="1"/>
    </xf>
    <xf numFmtId="49" fontId="36" fillId="0" borderId="18" xfId="0" applyNumberFormat="1" applyFont="1" applyBorder="1" applyAlignment="1">
      <alignment horizontal="center" vertical="center" wrapText="1"/>
    </xf>
    <xf numFmtId="3" fontId="36" fillId="0" borderId="18" xfId="0" applyNumberFormat="1" applyFont="1" applyBorder="1" applyAlignment="1">
      <alignment horizontal="right" vertical="center" wrapText="1"/>
    </xf>
    <xf numFmtId="168" fontId="34" fillId="0" borderId="18" xfId="1" applyNumberFormat="1" applyFont="1" applyFill="1" applyBorder="1" applyAlignment="1">
      <alignment horizontal="right" vertical="center" wrapText="1"/>
    </xf>
    <xf numFmtId="9" fontId="36" fillId="0" borderId="19"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6" fillId="3" borderId="12" xfId="0" applyFont="1" applyFill="1" applyBorder="1" applyAlignment="1">
      <alignment horizontal="left" vertical="center" wrapText="1"/>
    </xf>
    <xf numFmtId="0" fontId="34" fillId="3" borderId="18" xfId="0" applyFont="1" applyFill="1" applyBorder="1" applyAlignment="1">
      <alignment horizontal="left" vertical="center" wrapText="1"/>
    </xf>
    <xf numFmtId="49" fontId="34"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wrapText="1"/>
    </xf>
    <xf numFmtId="9" fontId="34" fillId="0" borderId="19" xfId="0" applyNumberFormat="1" applyFont="1" applyBorder="1" applyAlignment="1">
      <alignment horizontal="right" vertical="center" wrapText="1"/>
    </xf>
    <xf numFmtId="49" fontId="34" fillId="0" borderId="1" xfId="0" applyNumberFormat="1" applyFont="1" applyBorder="1" applyAlignment="1">
      <alignment horizontal="center" vertical="center" wrapText="1"/>
    </xf>
    <xf numFmtId="3" fontId="34" fillId="0" borderId="1" xfId="0" applyNumberFormat="1" applyFont="1" applyBorder="1" applyAlignment="1">
      <alignment horizontal="right" vertical="center" wrapText="1"/>
    </xf>
    <xf numFmtId="9" fontId="34" fillId="0" borderId="10" xfId="0" applyNumberFormat="1" applyFont="1" applyBorder="1" applyAlignment="1">
      <alignment horizontal="right" vertical="center" wrapText="1"/>
    </xf>
    <xf numFmtId="3" fontId="34" fillId="0" borderId="12" xfId="0" applyNumberFormat="1" applyFont="1" applyBorder="1" applyAlignment="1">
      <alignment horizontal="right" vertical="center" wrapText="1"/>
    </xf>
    <xf numFmtId="168" fontId="36" fillId="0" borderId="12" xfId="1" applyNumberFormat="1" applyFont="1" applyFill="1" applyBorder="1" applyAlignment="1">
      <alignment horizontal="right" vertical="center" wrapText="1"/>
    </xf>
    <xf numFmtId="49" fontId="30"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30" fillId="3" borderId="15" xfId="0" applyFont="1" applyFill="1" applyBorder="1" applyAlignment="1">
      <alignment horizontal="left" vertical="center"/>
    </xf>
    <xf numFmtId="0" fontId="30" fillId="3" borderId="15" xfId="0" applyFont="1" applyFill="1" applyBorder="1" applyAlignment="1">
      <alignment horizontal="right" vertical="center" wrapText="1"/>
    </xf>
    <xf numFmtId="168" fontId="30" fillId="3" borderId="15" xfId="1" applyNumberFormat="1" applyFont="1" applyFill="1" applyBorder="1" applyAlignment="1">
      <alignment horizontal="right" vertical="center" wrapText="1"/>
    </xf>
    <xf numFmtId="49" fontId="34" fillId="0" borderId="17" xfId="0" applyNumberFormat="1" applyFont="1" applyBorder="1" applyAlignment="1">
      <alignment horizontal="center" vertical="center"/>
    </xf>
    <xf numFmtId="49" fontId="34" fillId="0" borderId="18" xfId="0" applyNumberFormat="1" applyFont="1" applyBorder="1" applyAlignment="1">
      <alignment horizontal="center" vertical="center"/>
    </xf>
    <xf numFmtId="49" fontId="35" fillId="0" borderId="18" xfId="0" applyNumberFormat="1" applyFont="1" applyBorder="1" applyAlignment="1">
      <alignment vertical="center" wrapText="1"/>
    </xf>
    <xf numFmtId="0" fontId="30" fillId="3" borderId="18" xfId="0" applyFont="1" applyFill="1" applyBorder="1" applyAlignment="1">
      <alignment horizontal="left" vertical="center" wrapText="1"/>
    </xf>
    <xf numFmtId="49" fontId="30" fillId="3" borderId="18" xfId="0" applyNumberFormat="1" applyFont="1" applyFill="1" applyBorder="1" applyAlignment="1">
      <alignment horizontal="center" vertical="center" wrapText="1"/>
    </xf>
    <xf numFmtId="0" fontId="30" fillId="3" borderId="18" xfId="0" applyFont="1" applyFill="1" applyBorder="1" applyAlignment="1">
      <alignment horizontal="right" vertical="center" wrapText="1"/>
    </xf>
    <xf numFmtId="168" fontId="34" fillId="3" borderId="18" xfId="1" applyNumberFormat="1" applyFont="1" applyFill="1" applyBorder="1" applyAlignment="1">
      <alignment horizontal="right" vertical="center" wrapText="1"/>
    </xf>
    <xf numFmtId="9" fontId="30" fillId="3" borderId="19" xfId="0" applyNumberFormat="1" applyFont="1" applyFill="1" applyBorder="1" applyAlignment="1">
      <alignment horizontal="right" vertical="center" wrapText="1"/>
    </xf>
    <xf numFmtId="3" fontId="30" fillId="0" borderId="15" xfId="0" applyNumberFormat="1" applyFont="1" applyBorder="1" applyAlignment="1">
      <alignment horizontal="right" vertical="center"/>
    </xf>
    <xf numFmtId="3" fontId="35" fillId="0" borderId="18" xfId="0" applyNumberFormat="1" applyFont="1" applyBorder="1" applyAlignment="1">
      <alignment vertical="center" wrapText="1"/>
    </xf>
    <xf numFmtId="0" fontId="30" fillId="0" borderId="18" xfId="0" applyFont="1" applyBorder="1" applyAlignment="1">
      <alignment horizontal="left" vertical="center" wrapText="1"/>
    </xf>
    <xf numFmtId="49" fontId="30"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xf>
    <xf numFmtId="9" fontId="34" fillId="0" borderId="19" xfId="0" applyNumberFormat="1" applyFont="1" applyBorder="1" applyAlignment="1">
      <alignment horizontal="right" vertical="center"/>
    </xf>
    <xf numFmtId="3" fontId="36" fillId="2" borderId="1" xfId="0" applyNumberFormat="1" applyFont="1" applyFill="1" applyBorder="1" applyAlignment="1">
      <alignment horizontal="left" vertical="center" wrapText="1"/>
    </xf>
    <xf numFmtId="3" fontId="36" fillId="2" borderId="1" xfId="0" applyNumberFormat="1" applyFont="1" applyFill="1" applyBorder="1" applyAlignment="1">
      <alignment horizontal="right" vertical="center"/>
    </xf>
    <xf numFmtId="3" fontId="36" fillId="2" borderId="1" xfId="0" applyNumberFormat="1" applyFont="1" applyFill="1" applyBorder="1" applyAlignment="1">
      <alignment horizontal="right" vertical="center" wrapText="1"/>
    </xf>
    <xf numFmtId="9" fontId="36" fillId="2" borderId="1" xfId="4" applyFont="1" applyFill="1" applyBorder="1" applyAlignment="1">
      <alignment horizontal="right" vertical="center" wrapText="1"/>
    </xf>
    <xf numFmtId="9" fontId="36" fillId="2" borderId="10" xfId="0" applyNumberFormat="1" applyFont="1" applyFill="1" applyBorder="1" applyAlignment="1">
      <alignment horizontal="right" vertical="center" wrapText="1"/>
    </xf>
    <xf numFmtId="3" fontId="36" fillId="2" borderId="3" xfId="0" applyNumberFormat="1" applyFont="1" applyFill="1" applyBorder="1" applyAlignment="1">
      <alignment horizontal="left" vertical="center" wrapText="1"/>
    </xf>
    <xf numFmtId="3" fontId="36" fillId="2" borderId="40" xfId="0" applyNumberFormat="1" applyFont="1" applyFill="1" applyBorder="1" applyAlignment="1">
      <alignment horizontal="right" vertical="center" wrapText="1"/>
    </xf>
    <xf numFmtId="3" fontId="36" fillId="2" borderId="12" xfId="0" applyNumberFormat="1" applyFont="1" applyFill="1" applyBorder="1" applyAlignment="1">
      <alignment horizontal="right" vertical="center" wrapText="1"/>
    </xf>
    <xf numFmtId="3" fontId="34" fillId="2" borderId="1" xfId="0" applyNumberFormat="1" applyFont="1" applyFill="1" applyBorder="1" applyAlignment="1">
      <alignment horizontal="left" vertical="center" wrapText="1"/>
    </xf>
    <xf numFmtId="3" fontId="34" fillId="2" borderId="3" xfId="0" applyNumberFormat="1" applyFont="1" applyFill="1" applyBorder="1" applyAlignment="1">
      <alignment horizontal="right" vertical="center" wrapText="1"/>
    </xf>
    <xf numFmtId="3" fontId="34" fillId="2" borderId="3" xfId="0" applyNumberFormat="1" applyFont="1" applyFill="1" applyBorder="1" applyAlignment="1">
      <alignment horizontal="center" vertical="center" wrapText="1"/>
    </xf>
    <xf numFmtId="9" fontId="34" fillId="2" borderId="1" xfId="0" applyNumberFormat="1" applyFont="1" applyFill="1" applyBorder="1" applyAlignment="1">
      <alignment horizontal="center" vertical="center"/>
    </xf>
    <xf numFmtId="3"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3" fontId="36" fillId="2" borderId="1" xfId="0" applyNumberFormat="1" applyFont="1" applyFill="1" applyBorder="1" applyAlignment="1">
      <alignment vertical="center"/>
    </xf>
    <xf numFmtId="3" fontId="36" fillId="0" borderId="1" xfId="0" applyNumberFormat="1" applyFont="1" applyBorder="1" applyAlignment="1">
      <alignment horizontal="right" vertical="center"/>
    </xf>
    <xf numFmtId="9" fontId="36" fillId="0" borderId="1" xfId="0" applyNumberFormat="1" applyFont="1" applyBorder="1" applyAlignment="1">
      <alignment horizontal="right" vertical="center"/>
    </xf>
    <xf numFmtId="3" fontId="3" fillId="0" borderId="1" xfId="0" applyNumberFormat="1" applyFont="1" applyBorder="1" applyAlignment="1">
      <alignment vertical="center"/>
    </xf>
    <xf numFmtId="9" fontId="36" fillId="0" borderId="10" xfId="0" applyNumberFormat="1" applyFont="1" applyBorder="1" applyAlignment="1">
      <alignment horizontal="right" vertical="center"/>
    </xf>
    <xf numFmtId="0" fontId="38" fillId="0" borderId="1" xfId="0" applyFont="1" applyBorder="1" applyAlignment="1">
      <alignment horizontal="left" vertical="center" wrapText="1"/>
    </xf>
    <xf numFmtId="3" fontId="34" fillId="0" borderId="1" xfId="0" applyNumberFormat="1" applyFont="1" applyBorder="1" applyAlignment="1">
      <alignment vertical="center"/>
    </xf>
    <xf numFmtId="3" fontId="34" fillId="2" borderId="1" xfId="0" applyNumberFormat="1" applyFont="1" applyFill="1" applyBorder="1" applyAlignment="1">
      <alignment horizontal="right" vertical="center"/>
    </xf>
    <xf numFmtId="9" fontId="34" fillId="0" borderId="1" xfId="0" applyNumberFormat="1" applyFont="1" applyBorder="1" applyAlignment="1">
      <alignment horizontal="center" vertical="center"/>
    </xf>
    <xf numFmtId="9" fontId="34" fillId="0" borderId="10" xfId="0" applyNumberFormat="1" applyFont="1" applyBorder="1" applyAlignment="1">
      <alignment horizontal="right" vertical="center"/>
    </xf>
    <xf numFmtId="0" fontId="18" fillId="0" borderId="0" xfId="0" applyFont="1"/>
    <xf numFmtId="0" fontId="36" fillId="2" borderId="1" xfId="0" applyFont="1" applyFill="1" applyBorder="1" applyAlignment="1">
      <alignment vertical="center" wrapText="1"/>
    </xf>
    <xf numFmtId="9" fontId="36"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xf>
    <xf numFmtId="9" fontId="36" fillId="2" borderId="10" xfId="0" applyNumberFormat="1" applyFont="1" applyFill="1" applyBorder="1" applyAlignment="1">
      <alignment horizontal="right" vertical="center"/>
    </xf>
    <xf numFmtId="0" fontId="34" fillId="2" borderId="1" xfId="0" applyFont="1" applyFill="1" applyBorder="1" applyAlignment="1">
      <alignment vertical="center" wrapText="1"/>
    </xf>
    <xf numFmtId="3" fontId="34" fillId="2" borderId="1" xfId="0" applyNumberFormat="1" applyFont="1" applyFill="1" applyBorder="1" applyAlignment="1">
      <alignment horizontal="right" vertical="center" wrapText="1"/>
    </xf>
    <xf numFmtId="9"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xf>
    <xf numFmtId="0" fontId="36" fillId="0" borderId="1" xfId="0" applyFont="1" applyBorder="1" applyAlignment="1">
      <alignment vertical="center" wrapText="1"/>
    </xf>
    <xf numFmtId="3" fontId="36" fillId="0" borderId="1" xfId="0" applyNumberFormat="1" applyFont="1" applyBorder="1" applyAlignment="1">
      <alignment vertical="center"/>
    </xf>
    <xf numFmtId="3" fontId="36" fillId="0" borderId="1" xfId="0" applyNumberFormat="1" applyFont="1" applyBorder="1" applyAlignment="1">
      <alignment vertical="center" wrapText="1"/>
    </xf>
    <xf numFmtId="9" fontId="36" fillId="0" borderId="1" xfId="0" applyNumberFormat="1" applyFont="1" applyBorder="1" applyAlignment="1">
      <alignment vertical="center" wrapText="1"/>
    </xf>
    <xf numFmtId="3" fontId="34" fillId="0" borderId="1" xfId="0" applyNumberFormat="1" applyFont="1" applyBorder="1" applyAlignment="1">
      <alignment vertical="center" wrapText="1"/>
    </xf>
    <xf numFmtId="9" fontId="34" fillId="0" borderId="1" xfId="0" applyNumberFormat="1" applyFont="1" applyBorder="1" applyAlignment="1">
      <alignment vertical="center" wrapText="1"/>
    </xf>
    <xf numFmtId="3" fontId="34" fillId="0" borderId="1" xfId="0" applyNumberFormat="1" applyFont="1" applyBorder="1" applyAlignment="1">
      <alignment horizontal="right" vertical="center"/>
    </xf>
    <xf numFmtId="3" fontId="36" fillId="2" borderId="1" xfId="0" applyNumberFormat="1" applyFont="1" applyFill="1" applyBorder="1" applyAlignment="1">
      <alignment vertical="center" wrapText="1"/>
    </xf>
    <xf numFmtId="169" fontId="36" fillId="0" borderId="1" xfId="0" applyNumberFormat="1" applyFont="1" applyBorder="1" applyAlignment="1">
      <alignment vertical="center" wrapText="1"/>
    </xf>
    <xf numFmtId="3" fontId="34" fillId="2" borderId="1" xfId="0" applyNumberFormat="1" applyFont="1" applyFill="1" applyBorder="1" applyAlignment="1">
      <alignment vertical="center" wrapText="1"/>
    </xf>
    <xf numFmtId="9" fontId="34" fillId="0" borderId="1" xfId="0" applyNumberFormat="1" applyFont="1" applyBorder="1" applyAlignment="1">
      <alignment horizontal="center" vertical="center" wrapText="1"/>
    </xf>
    <xf numFmtId="3" fontId="36" fillId="2" borderId="5" xfId="0" applyNumberFormat="1" applyFont="1" applyFill="1" applyBorder="1" applyAlignment="1">
      <alignment horizontal="left" vertical="center" wrapText="1"/>
    </xf>
    <xf numFmtId="9" fontId="36" fillId="0" borderId="1" xfId="0" applyNumberFormat="1" applyFont="1" applyBorder="1" applyAlignment="1">
      <alignment horizontal="center" vertical="center" wrapText="1"/>
    </xf>
    <xf numFmtId="0" fontId="34" fillId="0" borderId="1" xfId="0" applyFont="1" applyBorder="1" applyAlignment="1">
      <alignment horizontal="left" vertical="center" wrapText="1"/>
    </xf>
    <xf numFmtId="0" fontId="3" fillId="2" borderId="1" xfId="0" applyFont="1" applyFill="1" applyBorder="1" applyAlignment="1">
      <alignment vertical="center" wrapText="1"/>
    </xf>
    <xf numFmtId="9" fontId="36" fillId="2" borderId="1" xfId="0" applyNumberFormat="1" applyFont="1" applyFill="1" applyBorder="1" applyAlignment="1">
      <alignment horizontal="right" vertical="center"/>
    </xf>
    <xf numFmtId="9" fontId="34" fillId="2" borderId="1" xfId="0" applyNumberFormat="1" applyFont="1" applyFill="1" applyBorder="1" applyAlignment="1">
      <alignment horizontal="right" vertical="center"/>
    </xf>
    <xf numFmtId="0" fontId="37" fillId="2" borderId="1" xfId="0" applyFont="1" applyFill="1" applyBorder="1" applyAlignment="1">
      <alignment horizontal="center" vertical="center" wrapText="1"/>
    </xf>
    <xf numFmtId="0" fontId="36" fillId="2" borderId="1" xfId="0" applyFont="1" applyFill="1" applyBorder="1" applyAlignment="1">
      <alignment horizontal="left" vertical="center" wrapText="1"/>
    </xf>
    <xf numFmtId="3" fontId="34" fillId="2" borderId="12" xfId="0" applyNumberFormat="1" applyFont="1" applyFill="1" applyBorder="1" applyAlignment="1">
      <alignment horizontal="right" vertical="center" wrapText="1"/>
    </xf>
    <xf numFmtId="3" fontId="34" fillId="2" borderId="12" xfId="0" applyNumberFormat="1" applyFont="1" applyFill="1" applyBorder="1" applyAlignment="1">
      <alignment horizontal="right" vertical="center"/>
    </xf>
    <xf numFmtId="9" fontId="34" fillId="2" borderId="12" xfId="0" applyNumberFormat="1" applyFont="1" applyFill="1" applyBorder="1" applyAlignment="1">
      <alignment horizontal="right" vertical="center" wrapText="1"/>
    </xf>
    <xf numFmtId="0" fontId="34" fillId="2" borderId="1" xfId="0" applyFont="1" applyFill="1" applyBorder="1" applyAlignment="1">
      <alignment horizontal="left" vertical="center" wrapText="1"/>
    </xf>
    <xf numFmtId="9" fontId="34" fillId="2" borderId="1" xfId="0" applyNumberFormat="1" applyFont="1" applyFill="1" applyBorder="1" applyAlignment="1">
      <alignment horizontal="right" vertical="center" wrapText="1"/>
    </xf>
    <xf numFmtId="0" fontId="36" fillId="0" borderId="18" xfId="0" applyFont="1" applyBorder="1" applyAlignment="1">
      <alignment vertical="center" wrapText="1"/>
    </xf>
    <xf numFmtId="3" fontId="34" fillId="2" borderId="18" xfId="0" applyNumberFormat="1" applyFont="1" applyFill="1" applyBorder="1" applyAlignment="1">
      <alignment vertical="center"/>
    </xf>
    <xf numFmtId="3" fontId="34" fillId="0" borderId="18" xfId="0" applyNumberFormat="1" applyFont="1" applyBorder="1" applyAlignment="1">
      <alignment vertical="center" wrapText="1"/>
    </xf>
    <xf numFmtId="169" fontId="34" fillId="0" borderId="18" xfId="0" applyNumberFormat="1" applyFont="1" applyBorder="1" applyAlignment="1">
      <alignment vertical="center" wrapText="1"/>
    </xf>
    <xf numFmtId="169" fontId="34" fillId="0" borderId="19" xfId="0" applyNumberFormat="1" applyFont="1" applyBorder="1" applyAlignment="1">
      <alignment horizontal="right" vertical="center"/>
    </xf>
    <xf numFmtId="3" fontId="34" fillId="2" borderId="12" xfId="0" applyNumberFormat="1" applyFont="1" applyFill="1" applyBorder="1" applyAlignment="1">
      <alignment vertical="center"/>
    </xf>
    <xf numFmtId="3" fontId="34" fillId="0" borderId="12" xfId="0" applyNumberFormat="1" applyFont="1" applyBorder="1" applyAlignment="1">
      <alignment vertical="center" wrapText="1"/>
    </xf>
    <xf numFmtId="169" fontId="34" fillId="0" borderId="12" xfId="0" applyNumberFormat="1" applyFont="1" applyBorder="1" applyAlignment="1">
      <alignment vertical="center" wrapText="1"/>
    </xf>
    <xf numFmtId="3" fontId="36" fillId="0" borderId="12" xfId="0" applyNumberFormat="1" applyFont="1" applyBorder="1" applyAlignment="1">
      <alignment horizontal="right" vertical="center"/>
    </xf>
    <xf numFmtId="169" fontId="34" fillId="0" borderId="13" xfId="0" applyNumberFormat="1" applyFont="1" applyBorder="1" applyAlignment="1">
      <alignment horizontal="right" vertical="center"/>
    </xf>
    <xf numFmtId="168" fontId="29" fillId="0" borderId="0" xfId="0" applyNumberFormat="1" applyFont="1"/>
    <xf numFmtId="0" fontId="30" fillId="0" borderId="0" xfId="0" applyFont="1" applyAlignment="1">
      <alignment horizontal="center" vertical="center"/>
    </xf>
    <xf numFmtId="49" fontId="30" fillId="3" borderId="0" xfId="0" applyNumberFormat="1" applyFont="1" applyFill="1" applyAlignment="1">
      <alignment horizontal="center" vertical="center" wrapText="1"/>
    </xf>
    <xf numFmtId="0" fontId="30" fillId="3" borderId="0" xfId="0" applyFont="1" applyFill="1" applyAlignment="1">
      <alignment horizontal="center" vertical="center" wrapText="1"/>
    </xf>
    <xf numFmtId="0" fontId="42" fillId="3" borderId="0" xfId="0" applyFont="1" applyFill="1" applyAlignment="1">
      <alignment horizontal="center" vertical="center" wrapText="1"/>
    </xf>
    <xf numFmtId="49" fontId="42" fillId="3" borderId="0" xfId="0" applyNumberFormat="1" applyFont="1" applyFill="1" applyAlignment="1">
      <alignment horizontal="center" vertical="center" wrapText="1"/>
    </xf>
    <xf numFmtId="3" fontId="30" fillId="3" borderId="0" xfId="0" applyNumberFormat="1" applyFont="1" applyFill="1" applyAlignment="1">
      <alignment horizontal="center" vertical="center" wrapText="1"/>
    </xf>
    <xf numFmtId="168" fontId="30" fillId="3" borderId="0" xfId="1" applyNumberFormat="1" applyFont="1" applyFill="1" applyBorder="1" applyAlignment="1">
      <alignment horizontal="right" vertical="center" wrapText="1"/>
    </xf>
    <xf numFmtId="9" fontId="30" fillId="3" borderId="0" xfId="0" applyNumberFormat="1" applyFont="1" applyFill="1" applyAlignment="1">
      <alignment horizontal="center" vertical="center" wrapText="1"/>
    </xf>
    <xf numFmtId="0" fontId="43" fillId="0" borderId="0" xfId="0" applyFont="1" applyAlignment="1">
      <alignment vertical="center"/>
    </xf>
    <xf numFmtId="0" fontId="36" fillId="0" borderId="0" xfId="0" applyFont="1" applyAlignment="1">
      <alignment horizontal="right" vertical="center"/>
    </xf>
    <xf numFmtId="168" fontId="3" fillId="0" borderId="0" xfId="0" applyNumberFormat="1" applyFont="1"/>
    <xf numFmtId="0" fontId="3" fillId="0" borderId="0" xfId="0" applyFont="1" applyAlignment="1">
      <alignment vertical="center"/>
    </xf>
    <xf numFmtId="0" fontId="40" fillId="0" borderId="0" xfId="0" applyFont="1"/>
    <xf numFmtId="0" fontId="36" fillId="0" borderId="0" xfId="0" applyFont="1"/>
    <xf numFmtId="0" fontId="36" fillId="0" borderId="0" xfId="0" applyFont="1" applyAlignment="1">
      <alignment horizontal="center" vertical="center"/>
    </xf>
    <xf numFmtId="49" fontId="36" fillId="0" borderId="0" xfId="0" applyNumberFormat="1" applyFont="1" applyAlignment="1">
      <alignment horizontal="center" vertical="center"/>
    </xf>
    <xf numFmtId="0" fontId="36" fillId="0" borderId="0" xfId="0" applyFont="1" applyAlignment="1">
      <alignment vertical="center"/>
    </xf>
    <xf numFmtId="9" fontId="36" fillId="0" borderId="0" xfId="0" applyNumberFormat="1" applyFont="1" applyAlignment="1">
      <alignment horizontal="right" vertical="center"/>
    </xf>
    <xf numFmtId="0" fontId="7"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quotePrefix="1" applyNumberFormat="1" applyFont="1" applyFill="1" applyBorder="1" applyAlignment="1">
      <alignment vertical="top" wrapText="1"/>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left"/>
    </xf>
    <xf numFmtId="0" fontId="6" fillId="0" borderId="34"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3" xfId="0" applyFont="1" applyBorder="1" applyAlignment="1">
      <alignment horizontal="center" wrapText="1"/>
    </xf>
    <xf numFmtId="0" fontId="7" fillId="2" borderId="18" xfId="0" quotePrefix="1" applyFont="1" applyFill="1" applyBorder="1" applyAlignment="1">
      <alignment vertical="center" wrapText="1"/>
    </xf>
    <xf numFmtId="49" fontId="3" fillId="2" borderId="27" xfId="0" applyNumberFormat="1" applyFont="1" applyFill="1" applyBorder="1" applyAlignment="1">
      <alignment horizontal="center" vertical="center" wrapText="1"/>
    </xf>
    <xf numFmtId="49" fontId="13" fillId="0" borderId="9" xfId="0" applyNumberFormat="1" applyFont="1" applyBorder="1" applyAlignment="1">
      <alignment horizontal="center" vertical="center" wrapText="1"/>
    </xf>
    <xf numFmtId="0" fontId="13" fillId="0" borderId="3" xfId="0" quotePrefix="1" applyFont="1" applyBorder="1" applyAlignment="1">
      <alignment horizontal="center" wrapText="1"/>
    </xf>
    <xf numFmtId="164" fontId="6" fillId="0" borderId="13" xfId="0" applyNumberFormat="1" applyFont="1" applyBorder="1" applyAlignment="1">
      <alignment horizontal="center" vertical="center"/>
    </xf>
    <xf numFmtId="0" fontId="5" fillId="0" borderId="1" xfId="0" applyFont="1" applyFill="1" applyBorder="1" applyAlignment="1">
      <alignment horizontal="center"/>
    </xf>
    <xf numFmtId="0" fontId="5" fillId="0" borderId="1" xfId="0" applyFont="1" applyFill="1" applyBorder="1" applyAlignment="1">
      <alignment horizontal="left"/>
    </xf>
    <xf numFmtId="49" fontId="36" fillId="2" borderId="1" xfId="0" applyNumberFormat="1" applyFont="1" applyFill="1" applyBorder="1" applyAlignment="1">
      <alignment horizontal="center" vertical="center"/>
    </xf>
    <xf numFmtId="49" fontId="3" fillId="2" borderId="40" xfId="0" applyNumberFormat="1" applyFont="1" applyFill="1" applyBorder="1" applyAlignment="1">
      <alignment horizontal="center" vertical="center" wrapText="1"/>
    </xf>
    <xf numFmtId="0" fontId="45" fillId="0" borderId="12" xfId="0" applyFont="1" applyBorder="1" applyAlignment="1">
      <alignment wrapText="1"/>
    </xf>
    <xf numFmtId="49" fontId="34" fillId="0" borderId="23" xfId="0" applyNumberFormat="1" applyFont="1" applyBorder="1" applyAlignment="1">
      <alignment horizontal="center" vertical="center" wrapText="1"/>
    </xf>
    <xf numFmtId="0" fontId="30" fillId="3" borderId="1" xfId="0" applyFont="1" applyFill="1" applyBorder="1" applyAlignment="1">
      <alignment horizontal="right" vertical="center" wrapText="1"/>
    </xf>
    <xf numFmtId="49" fontId="36" fillId="0" borderId="26" xfId="0" applyNumberFormat="1" applyFont="1" applyBorder="1" applyAlignment="1">
      <alignment horizontal="center" vertical="center"/>
    </xf>
    <xf numFmtId="49" fontId="36" fillId="0" borderId="27" xfId="0" applyNumberFormat="1" applyFont="1" applyBorder="1" applyAlignment="1">
      <alignment horizontal="center" vertical="center"/>
    </xf>
    <xf numFmtId="0" fontId="3" fillId="2" borderId="27" xfId="0" applyFont="1" applyFill="1" applyBorder="1" applyAlignment="1">
      <alignment vertical="center" wrapText="1"/>
    </xf>
    <xf numFmtId="0" fontId="30" fillId="3" borderId="27" xfId="0" applyFont="1" applyFill="1" applyBorder="1" applyAlignment="1">
      <alignment horizontal="right" vertical="center" wrapText="1"/>
    </xf>
    <xf numFmtId="9" fontId="30" fillId="3" borderId="28" xfId="0" applyNumberFormat="1" applyFont="1" applyFill="1" applyBorder="1" applyAlignment="1">
      <alignment horizontal="right" vertical="center" wrapText="1"/>
    </xf>
    <xf numFmtId="0" fontId="22" fillId="2" borderId="1" xfId="0" quotePrefix="1" applyFont="1" applyFill="1" applyBorder="1" applyAlignment="1">
      <alignment horizontal="center" vertical="center" wrapText="1"/>
    </xf>
    <xf numFmtId="3" fontId="36" fillId="0" borderId="18" xfId="0" applyNumberFormat="1" applyFont="1" applyBorder="1" applyAlignment="1">
      <alignment horizontal="right" vertical="center"/>
    </xf>
    <xf numFmtId="3" fontId="34" fillId="2" borderId="3" xfId="0" applyNumberFormat="1" applyFont="1" applyFill="1" applyBorder="1" applyAlignment="1">
      <alignment vertical="center" wrapText="1"/>
    </xf>
    <xf numFmtId="3" fontId="34" fillId="2" borderId="12" xfId="0"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wrapText="1"/>
    </xf>
    <xf numFmtId="9" fontId="34" fillId="2" borderId="1" xfId="4" applyFont="1" applyFill="1" applyBorder="1" applyAlignment="1">
      <alignment horizontal="right" vertical="center" wrapText="1"/>
    </xf>
    <xf numFmtId="3" fontId="34" fillId="2" borderId="3" xfId="0" applyNumberFormat="1" applyFont="1" applyFill="1" applyBorder="1" applyAlignment="1">
      <alignment horizontal="left" vertical="center" wrapText="1"/>
    </xf>
    <xf numFmtId="3" fontId="34" fillId="2" borderId="12" xfId="0" quotePrefix="1"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xf>
    <xf numFmtId="0" fontId="41" fillId="0" borderId="1" xfId="0" applyFont="1" applyBorder="1" applyAlignment="1">
      <alignment horizontal="center" vertical="center" wrapText="1"/>
    </xf>
    <xf numFmtId="0" fontId="34" fillId="0" borderId="1" xfId="0" applyFont="1" applyBorder="1" applyAlignment="1">
      <alignment vertical="center" wrapText="1"/>
    </xf>
    <xf numFmtId="49" fontId="36" fillId="2" borderId="3" xfId="0" applyNumberFormat="1" applyFont="1" applyFill="1" applyBorder="1" applyAlignment="1">
      <alignment horizontal="center" vertical="center" wrapText="1"/>
    </xf>
    <xf numFmtId="0" fontId="13" fillId="2" borderId="0" xfId="0" applyFont="1" applyFill="1"/>
    <xf numFmtId="3" fontId="34" fillId="2" borderId="12" xfId="0" applyNumberFormat="1" applyFont="1" applyFill="1" applyBorder="1" applyAlignment="1">
      <alignment vertical="center" wrapText="1"/>
    </xf>
    <xf numFmtId="0" fontId="7" fillId="0" borderId="0" xfId="0" applyFont="1" applyFill="1"/>
    <xf numFmtId="0" fontId="29" fillId="0" borderId="0" xfId="0" applyFont="1" applyFill="1"/>
    <xf numFmtId="0" fontId="29" fillId="0" borderId="0" xfId="0" applyFont="1" applyFill="1" applyAlignment="1">
      <alignment horizontal="right"/>
    </xf>
    <xf numFmtId="0" fontId="7" fillId="0" borderId="2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31" xfId="0" quotePrefix="1" applyFont="1" applyFill="1" applyBorder="1" applyAlignment="1">
      <alignment vertical="center" wrapText="1"/>
    </xf>
    <xf numFmtId="0" fontId="13" fillId="0" borderId="15" xfId="0" quotePrefix="1" applyFont="1" applyFill="1" applyBorder="1" applyAlignment="1">
      <alignment vertical="center" wrapText="1"/>
    </xf>
    <xf numFmtId="3" fontId="13" fillId="0" borderId="15" xfId="0" applyNumberFormat="1" applyFont="1" applyFill="1" applyBorder="1" applyAlignment="1">
      <alignment horizontal="right" vertical="center"/>
    </xf>
    <xf numFmtId="3" fontId="13" fillId="0" borderId="16" xfId="0" applyNumberFormat="1" applyFont="1" applyFill="1" applyBorder="1" applyAlignment="1">
      <alignment horizontal="right" vertical="center"/>
    </xf>
    <xf numFmtId="49" fontId="25" fillId="0" borderId="6" xfId="0" applyNumberFormat="1"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29" xfId="0" quotePrefix="1" applyFont="1" applyFill="1" applyBorder="1" applyAlignment="1">
      <alignment vertical="center" wrapText="1"/>
    </xf>
    <xf numFmtId="0" fontId="25" fillId="0" borderId="18" xfId="0" quotePrefix="1" applyFont="1" applyFill="1" applyBorder="1" applyAlignment="1">
      <alignment vertical="center" wrapText="1"/>
    </xf>
    <xf numFmtId="3" fontId="25" fillId="0" borderId="18"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quotePrefix="1" applyFont="1" applyFill="1" applyBorder="1" applyAlignment="1">
      <alignment vertical="center" wrapText="1"/>
    </xf>
    <xf numFmtId="3" fontId="7" fillId="0" borderId="1" xfId="0" applyNumberFormat="1" applyFont="1" applyFill="1" applyBorder="1" applyAlignment="1">
      <alignment horizontal="right" vertical="center"/>
    </xf>
    <xf numFmtId="3" fontId="25" fillId="0" borderId="1" xfId="0" applyNumberFormat="1" applyFont="1" applyFill="1" applyBorder="1" applyAlignment="1">
      <alignment horizontal="right" vertical="center"/>
    </xf>
    <xf numFmtId="3" fontId="25" fillId="0" borderId="10" xfId="0" applyNumberFormat="1" applyFont="1" applyFill="1" applyBorder="1" applyAlignment="1">
      <alignment horizontal="right" vertical="center"/>
    </xf>
    <xf numFmtId="49" fontId="7" fillId="0" borderId="9"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quotePrefix="1" applyNumberFormat="1" applyFont="1" applyFill="1" applyBorder="1" applyAlignment="1">
      <alignment vertical="center" wrapText="1"/>
    </xf>
    <xf numFmtId="0" fontId="7" fillId="0" borderId="18" xfId="0" quotePrefix="1" applyFont="1" applyFill="1" applyBorder="1" applyAlignment="1">
      <alignment vertical="center" wrapText="1"/>
    </xf>
    <xf numFmtId="3" fontId="7" fillId="0" borderId="18" xfId="0" applyNumberFormat="1" applyFont="1" applyFill="1" applyBorder="1" applyAlignment="1">
      <alignment horizontal="right" vertical="center"/>
    </xf>
    <xf numFmtId="3" fontId="25" fillId="0" borderId="19" xfId="0" applyNumberFormat="1" applyFont="1" applyFill="1" applyBorder="1" applyAlignment="1">
      <alignment horizontal="right" vertical="center"/>
    </xf>
    <xf numFmtId="0" fontId="7" fillId="0" borderId="5" xfId="0" quotePrefix="1" applyFont="1" applyFill="1" applyBorder="1" applyAlignment="1">
      <alignment vertical="center" wrapText="1"/>
    </xf>
    <xf numFmtId="3" fontId="7" fillId="0" borderId="10" xfId="0" applyNumberFormat="1" applyFont="1" applyFill="1" applyBorder="1" applyAlignment="1">
      <alignment horizontal="right" vertical="center"/>
    </xf>
    <xf numFmtId="49" fontId="7" fillId="0" borderId="26"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23" xfId="0" quotePrefix="1" applyFont="1" applyFill="1" applyBorder="1" applyAlignment="1">
      <alignment vertical="center" wrapText="1"/>
    </xf>
    <xf numFmtId="0" fontId="7" fillId="0" borderId="27" xfId="0" quotePrefix="1" applyFont="1" applyFill="1" applyBorder="1" applyAlignment="1">
      <alignment vertical="center" wrapText="1"/>
    </xf>
    <xf numFmtId="0" fontId="7" fillId="0" borderId="12" xfId="0" quotePrefix="1" applyFont="1" applyFill="1" applyBorder="1" applyAlignment="1">
      <alignment vertical="center" wrapText="1"/>
    </xf>
    <xf numFmtId="3" fontId="7" fillId="0" borderId="12" xfId="0" applyNumberFormat="1" applyFont="1" applyFill="1" applyBorder="1" applyAlignment="1">
      <alignment horizontal="right" vertical="center"/>
    </xf>
    <xf numFmtId="3" fontId="7" fillId="0" borderId="13" xfId="0" applyNumberFormat="1" applyFont="1" applyFill="1" applyBorder="1" applyAlignment="1">
      <alignment horizontal="right" vertical="center"/>
    </xf>
    <xf numFmtId="0" fontId="7" fillId="0" borderId="11" xfId="0"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3" fontId="7" fillId="0" borderId="12" xfId="0" quotePrefix="1" applyNumberFormat="1" applyFont="1" applyFill="1" applyBorder="1" applyAlignment="1">
      <alignment vertical="center" wrapText="1"/>
    </xf>
    <xf numFmtId="3" fontId="7" fillId="0" borderId="1" xfId="0" quotePrefix="1" applyNumberFormat="1" applyFont="1" applyFill="1" applyBorder="1" applyAlignment="1">
      <alignment vertical="center" wrapText="1"/>
    </xf>
    <xf numFmtId="49" fontId="7" fillId="0" borderId="27" xfId="0" applyNumberFormat="1" applyFont="1" applyFill="1" applyBorder="1" applyAlignment="1">
      <alignment horizontal="center" vertical="center" wrapText="1"/>
    </xf>
    <xf numFmtId="3" fontId="7" fillId="0" borderId="18" xfId="0" quotePrefix="1" applyNumberFormat="1" applyFont="1" applyFill="1" applyBorder="1" applyAlignment="1">
      <alignment vertical="center" wrapText="1"/>
    </xf>
    <xf numFmtId="3" fontId="7" fillId="0" borderId="27" xfId="0" quotePrefix="1" applyNumberFormat="1" applyFont="1" applyFill="1" applyBorder="1" applyAlignment="1">
      <alignment vertical="center" wrapText="1"/>
    </xf>
    <xf numFmtId="3" fontId="7" fillId="0" borderId="28" xfId="0" applyNumberFormat="1" applyFont="1" applyFill="1" applyBorder="1" applyAlignment="1">
      <alignment horizontal="right" vertical="center"/>
    </xf>
    <xf numFmtId="49" fontId="25" fillId="0" borderId="17" xfId="0" applyNumberFormat="1" applyFont="1" applyFill="1" applyBorder="1" applyAlignment="1">
      <alignment horizontal="center" vertical="center" wrapText="1"/>
    </xf>
    <xf numFmtId="0" fontId="25" fillId="0" borderId="18" xfId="0" applyFont="1" applyFill="1" applyBorder="1" applyAlignment="1">
      <alignment horizontal="center" vertical="center" wrapText="1"/>
    </xf>
    <xf numFmtId="3" fontId="7" fillId="0" borderId="27" xfId="0" applyNumberFormat="1" applyFont="1" applyFill="1" applyBorder="1" applyAlignment="1">
      <alignment horizontal="right" vertical="center"/>
    </xf>
    <xf numFmtId="0" fontId="7" fillId="0" borderId="32" xfId="0" quotePrefix="1" applyFont="1" applyFill="1" applyBorder="1" applyAlignment="1">
      <alignment vertical="center" wrapText="1"/>
    </xf>
    <xf numFmtId="0" fontId="25" fillId="0" borderId="30" xfId="0" quotePrefix="1" applyFont="1" applyFill="1" applyBorder="1" applyAlignment="1">
      <alignment vertical="center" wrapText="1"/>
    </xf>
    <xf numFmtId="0" fontId="25" fillId="0" borderId="7" xfId="0" quotePrefix="1" applyFont="1" applyFill="1" applyBorder="1" applyAlignment="1">
      <alignment vertical="center" wrapText="1"/>
    </xf>
    <xf numFmtId="3" fontId="25" fillId="0" borderId="7" xfId="0" applyNumberFormat="1" applyFont="1" applyFill="1" applyBorder="1" applyAlignment="1">
      <alignment horizontal="right" vertical="center"/>
    </xf>
    <xf numFmtId="3" fontId="25" fillId="0" borderId="8" xfId="0" applyNumberFormat="1" applyFont="1" applyFill="1" applyBorder="1" applyAlignment="1">
      <alignment horizontal="right" vertical="center"/>
    </xf>
    <xf numFmtId="0" fontId="7" fillId="0" borderId="20" xfId="0" applyFont="1" applyFill="1" applyBorder="1" applyAlignment="1">
      <alignment horizontal="center" vertical="center" wrapText="1"/>
    </xf>
    <xf numFmtId="0" fontId="7" fillId="0" borderId="33" xfId="0" quotePrefix="1" applyFont="1" applyFill="1" applyBorder="1" applyAlignment="1">
      <alignment vertical="center" wrapText="1"/>
    </xf>
    <xf numFmtId="0" fontId="7" fillId="0" borderId="21" xfId="0" quotePrefix="1" applyFont="1" applyFill="1" applyBorder="1" applyAlignment="1">
      <alignment vertical="center" wrapText="1"/>
    </xf>
    <xf numFmtId="3" fontId="7" fillId="0" borderId="21" xfId="0" applyNumberFormat="1" applyFont="1" applyFill="1" applyBorder="1" applyAlignment="1">
      <alignment horizontal="right" vertical="center"/>
    </xf>
    <xf numFmtId="3" fontId="7" fillId="0" borderId="22" xfId="0" applyNumberFormat="1" applyFont="1" applyFill="1" applyBorder="1" applyAlignment="1">
      <alignment horizontal="right" vertical="center"/>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9" xfId="0" quotePrefix="1" applyFont="1" applyFill="1" applyBorder="1" applyAlignment="1">
      <alignment vertical="center" wrapText="1"/>
    </xf>
    <xf numFmtId="49" fontId="7" fillId="0" borderId="27" xfId="0" quotePrefix="1" applyNumberFormat="1" applyFont="1" applyFill="1" applyBorder="1" applyAlignment="1">
      <alignment vertical="center" wrapText="1"/>
    </xf>
    <xf numFmtId="0" fontId="25" fillId="0" borderId="6" xfId="0" applyFont="1" applyFill="1" applyBorder="1" applyAlignment="1">
      <alignment horizontal="center" vertical="center" wrapText="1"/>
    </xf>
    <xf numFmtId="49" fontId="7" fillId="0" borderId="12" xfId="0" quotePrefix="1" applyNumberFormat="1" applyFont="1" applyFill="1" applyBorder="1" applyAlignment="1">
      <alignment vertical="center" wrapText="1"/>
    </xf>
    <xf numFmtId="49" fontId="7" fillId="0" borderId="18" xfId="0" applyNumberFormat="1" applyFont="1" applyFill="1" applyBorder="1" applyAlignment="1">
      <alignment horizontal="center" vertical="center" wrapText="1"/>
    </xf>
    <xf numFmtId="0" fontId="7" fillId="0" borderId="12" xfId="0" applyFont="1" applyFill="1" applyBorder="1" applyAlignment="1">
      <alignment vertical="center" wrapText="1"/>
    </xf>
    <xf numFmtId="0" fontId="25" fillId="0" borderId="17" xfId="0" applyFont="1" applyFill="1" applyBorder="1" applyAlignment="1">
      <alignment horizontal="center" vertical="center" wrapText="1"/>
    </xf>
    <xf numFmtId="0" fontId="7" fillId="0" borderId="29"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5" xfId="0" applyFont="1" applyFill="1" applyBorder="1" applyAlignment="1">
      <alignment vertical="center" wrapText="1"/>
    </xf>
    <xf numFmtId="3" fontId="7" fillId="0" borderId="19" xfId="0" applyNumberFormat="1" applyFont="1" applyFill="1" applyBorder="1" applyAlignment="1">
      <alignment horizontal="right" vertical="center"/>
    </xf>
    <xf numFmtId="49" fontId="7" fillId="0" borderId="11"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0" fontId="7" fillId="0" borderId="23" xfId="0" applyFont="1" applyFill="1" applyBorder="1" applyAlignment="1">
      <alignment vertical="center" wrapText="1"/>
    </xf>
    <xf numFmtId="0" fontId="7" fillId="0" borderId="42" xfId="0" applyFont="1" applyFill="1" applyBorder="1" applyAlignment="1">
      <alignment horizontal="center" vertical="center" wrapText="1"/>
    </xf>
    <xf numFmtId="0" fontId="7" fillId="0" borderId="34"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15"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7" fillId="0" borderId="15" xfId="0" quotePrefix="1" applyFont="1" applyFill="1" applyBorder="1" applyAlignment="1">
      <alignment vertical="center" wrapText="1"/>
    </xf>
    <xf numFmtId="0" fontId="25" fillId="0" borderId="7" xfId="0" applyFont="1" applyFill="1" applyBorder="1" applyAlignment="1">
      <alignment horizontal="left" vertical="center" wrapText="1"/>
    </xf>
    <xf numFmtId="0" fontId="7" fillId="0" borderId="35" xfId="0" applyFont="1" applyFill="1" applyBorder="1" applyAlignment="1">
      <alignment horizontal="center" vertical="center" wrapText="1"/>
    </xf>
    <xf numFmtId="49" fontId="7" fillId="0" borderId="21" xfId="0" applyNumberFormat="1" applyFont="1" applyFill="1" applyBorder="1" applyAlignment="1">
      <alignment horizontal="center" vertical="center" wrapText="1"/>
    </xf>
    <xf numFmtId="0" fontId="7" fillId="0" borderId="21" xfId="0" applyFont="1" applyFill="1" applyBorder="1" applyAlignment="1">
      <alignment horizontal="left" vertical="center" wrapText="1"/>
    </xf>
    <xf numFmtId="49" fontId="7" fillId="0" borderId="15" xfId="0" applyNumberFormat="1" applyFont="1" applyFill="1" applyBorder="1" applyAlignment="1">
      <alignment horizontal="center" vertical="center" wrapText="1"/>
    </xf>
    <xf numFmtId="0" fontId="7" fillId="0" borderId="49" xfId="0" applyFont="1" applyFill="1" applyBorder="1" applyAlignment="1">
      <alignment horizontal="left" vertical="center" wrapText="1"/>
    </xf>
    <xf numFmtId="0" fontId="13" fillId="0" borderId="20"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33" xfId="0" applyFont="1" applyFill="1" applyBorder="1" applyAlignment="1">
      <alignment vertical="center" wrapText="1"/>
    </xf>
    <xf numFmtId="3" fontId="13" fillId="0" borderId="21" xfId="0" applyNumberFormat="1" applyFont="1" applyFill="1" applyBorder="1" applyAlignment="1">
      <alignment horizontal="right" vertical="center"/>
    </xf>
    <xf numFmtId="3" fontId="13" fillId="0" borderId="22" xfId="0" applyNumberFormat="1" applyFont="1" applyFill="1" applyBorder="1" applyAlignment="1">
      <alignment horizontal="right" vertical="center"/>
    </xf>
    <xf numFmtId="0" fontId="2" fillId="2" borderId="48" xfId="0" applyFont="1" applyFill="1" applyBorder="1" applyAlignment="1">
      <alignment horizontal="center" vertical="center" wrapText="1"/>
    </xf>
    <xf numFmtId="0" fontId="21" fillId="2" borderId="14" xfId="0" quotePrefix="1" applyFont="1" applyFill="1" applyBorder="1" applyAlignment="1">
      <alignment vertical="center" wrapText="1"/>
    </xf>
    <xf numFmtId="0" fontId="36" fillId="0" borderId="15" xfId="0" applyFont="1" applyBorder="1" applyAlignment="1">
      <alignment vertical="center" wrapText="1"/>
    </xf>
    <xf numFmtId="0" fontId="36" fillId="0" borderId="15" xfId="0" applyFont="1" applyBorder="1" applyAlignment="1">
      <alignment horizontal="center" vertical="center" wrapText="1"/>
    </xf>
    <xf numFmtId="3" fontId="34" fillId="2" borderId="15" xfId="0" applyNumberFormat="1" applyFont="1" applyFill="1" applyBorder="1" applyAlignment="1">
      <alignment vertical="center"/>
    </xf>
    <xf numFmtId="3" fontId="34" fillId="0" borderId="15" xfId="0" applyNumberFormat="1" applyFont="1" applyBorder="1" applyAlignment="1">
      <alignment vertical="center" wrapText="1"/>
    </xf>
    <xf numFmtId="169" fontId="34" fillId="0" borderId="15" xfId="0" applyNumberFormat="1" applyFont="1" applyBorder="1" applyAlignment="1">
      <alignment vertical="center" wrapText="1"/>
    </xf>
    <xf numFmtId="169" fontId="34" fillId="0" borderId="16" xfId="0" applyNumberFormat="1" applyFont="1" applyBorder="1" applyAlignment="1">
      <alignment horizontal="right" vertical="center"/>
    </xf>
    <xf numFmtId="9" fontId="34" fillId="0" borderId="13" xfId="0" applyNumberFormat="1" applyFont="1" applyBorder="1" applyAlignment="1">
      <alignment horizontal="right" vertical="center" wrapText="1"/>
    </xf>
    <xf numFmtId="9" fontId="30" fillId="3" borderId="10" xfId="0" applyNumberFormat="1" applyFont="1" applyFill="1" applyBorder="1" applyAlignment="1">
      <alignment horizontal="right" vertical="center" wrapText="1"/>
    </xf>
    <xf numFmtId="9" fontId="34" fillId="2" borderId="13" xfId="0" applyNumberFormat="1" applyFont="1" applyFill="1" applyBorder="1" applyAlignment="1">
      <alignment horizontal="right" vertical="center"/>
    </xf>
    <xf numFmtId="0" fontId="42" fillId="3" borderId="15" xfId="0" applyFont="1" applyFill="1" applyBorder="1" applyAlignment="1">
      <alignment horizontal="center" vertical="center" wrapText="1"/>
    </xf>
    <xf numFmtId="49" fontId="42"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center" vertical="center" wrapText="1"/>
    </xf>
    <xf numFmtId="168" fontId="30" fillId="3" borderId="16" xfId="1" applyNumberFormat="1" applyFont="1" applyFill="1" applyBorder="1" applyAlignment="1">
      <alignment horizontal="center" vertical="center" wrapText="1"/>
    </xf>
    <xf numFmtId="0" fontId="3" fillId="4" borderId="1" xfId="0" applyFont="1" applyFill="1" applyBorder="1" applyAlignment="1">
      <alignment vertical="top" wrapText="1"/>
    </xf>
    <xf numFmtId="0" fontId="7" fillId="0" borderId="4" xfId="0" applyFont="1" applyFill="1" applyBorder="1" applyAlignment="1">
      <alignment vertical="center" wrapText="1"/>
    </xf>
    <xf numFmtId="0" fontId="5" fillId="0" borderId="12" xfId="0" quotePrefix="1" applyFont="1" applyFill="1" applyBorder="1" applyAlignment="1">
      <alignment vertical="center" wrapText="1"/>
    </xf>
    <xf numFmtId="0" fontId="41" fillId="4" borderId="1" xfId="0" applyFont="1" applyFill="1" applyBorder="1" applyAlignment="1">
      <alignment horizontal="center" vertical="center" wrapText="1"/>
    </xf>
    <xf numFmtId="0" fontId="22" fillId="2" borderId="12" xfId="0" quotePrefix="1" applyFont="1" applyFill="1" applyBorder="1" applyAlignment="1">
      <alignment horizontal="center" vertical="center" wrapText="1"/>
    </xf>
    <xf numFmtId="0" fontId="37" fillId="0" borderId="1" xfId="0" applyFont="1" applyBorder="1" applyAlignment="1">
      <alignment horizontal="center" vertical="center" wrapText="1"/>
    </xf>
    <xf numFmtId="0" fontId="41" fillId="0" borderId="12" xfId="0" applyFont="1" applyBorder="1" applyAlignment="1">
      <alignment horizontal="center" wrapText="1"/>
    </xf>
    <xf numFmtId="0" fontId="35" fillId="2" borderId="18" xfId="0" quotePrefix="1" applyFont="1" applyFill="1" applyBorder="1" applyAlignment="1">
      <alignment vertical="center" wrapText="1"/>
    </xf>
    <xf numFmtId="3" fontId="36" fillId="2" borderId="3" xfId="0" applyNumberFormat="1" applyFont="1" applyFill="1" applyBorder="1" applyAlignment="1">
      <alignment vertical="center" wrapText="1"/>
    </xf>
    <xf numFmtId="3" fontId="34" fillId="2" borderId="1" xfId="0" applyNumberFormat="1" applyFont="1" applyFill="1" applyBorder="1" applyAlignment="1">
      <alignment vertical="center"/>
    </xf>
    <xf numFmtId="9" fontId="34" fillId="2" borderId="1" xfId="0" applyNumberFormat="1" applyFont="1" applyFill="1" applyBorder="1" applyAlignment="1">
      <alignment vertical="center" wrapText="1"/>
    </xf>
    <xf numFmtId="0" fontId="7" fillId="0" borderId="3" xfId="0" quotePrefix="1" applyFont="1" applyFill="1" applyBorder="1" applyAlignment="1">
      <alignment vertical="center" wrapText="1"/>
    </xf>
    <xf numFmtId="0" fontId="30" fillId="0" borderId="47" xfId="0" applyFont="1" applyBorder="1" applyAlignment="1">
      <alignment horizontal="center" vertical="center"/>
    </xf>
    <xf numFmtId="0" fontId="7" fillId="2" borderId="40" xfId="0" quotePrefix="1" applyFont="1" applyFill="1" applyBorder="1" applyAlignment="1">
      <alignment vertical="center" wrapText="1"/>
    </xf>
    <xf numFmtId="164" fontId="5" fillId="2" borderId="5" xfId="0" applyNumberFormat="1" applyFont="1" applyFill="1" applyBorder="1" applyAlignment="1">
      <alignment horizontal="right" vertical="center"/>
    </xf>
    <xf numFmtId="164" fontId="5" fillId="2" borderId="18" xfId="0" applyNumberFormat="1" applyFont="1" applyFill="1" applyBorder="1" applyAlignment="1">
      <alignment horizontal="right" vertical="center"/>
    </xf>
    <xf numFmtId="0" fontId="44" fillId="4" borderId="1" xfId="0" applyFont="1" applyFill="1" applyBorder="1" applyAlignment="1">
      <alignment vertical="top" wrapText="1"/>
    </xf>
    <xf numFmtId="49" fontId="3" fillId="0" borderId="9" xfId="0" applyNumberFormat="1" applyFont="1" applyBorder="1" applyAlignment="1">
      <alignment horizontal="center" vertical="center" wrapText="1"/>
    </xf>
    <xf numFmtId="49" fontId="22" fillId="0" borderId="1" xfId="0" quotePrefix="1" applyNumberFormat="1" applyFont="1" applyBorder="1" applyAlignment="1">
      <alignment horizontal="center" vertical="center" wrapText="1"/>
    </xf>
    <xf numFmtId="49" fontId="30" fillId="2" borderId="14" xfId="0" applyNumberFormat="1" applyFont="1" applyFill="1" applyBorder="1" applyAlignment="1">
      <alignment horizontal="center" vertical="center"/>
    </xf>
    <xf numFmtId="49" fontId="30" fillId="2" borderId="15" xfId="0" applyNumberFormat="1" applyFont="1" applyFill="1" applyBorder="1" applyAlignment="1">
      <alignment horizontal="center" vertical="center" wrapText="1"/>
    </xf>
    <xf numFmtId="3" fontId="15" fillId="2" borderId="15" xfId="0" applyNumberFormat="1" applyFont="1" applyFill="1" applyBorder="1" applyAlignment="1">
      <alignment vertical="center" wrapText="1"/>
    </xf>
    <xf numFmtId="0" fontId="30" fillId="2" borderId="15" xfId="0" applyFont="1" applyFill="1" applyBorder="1" applyAlignment="1">
      <alignment horizontal="left" vertical="center" wrapText="1"/>
    </xf>
    <xf numFmtId="3" fontId="30" fillId="2" borderId="15" xfId="0" applyNumberFormat="1" applyFont="1" applyFill="1" applyBorder="1" applyAlignment="1">
      <alignment horizontal="right" vertical="center"/>
    </xf>
    <xf numFmtId="168" fontId="30" fillId="2" borderId="15" xfId="1" applyNumberFormat="1" applyFont="1" applyFill="1" applyBorder="1" applyAlignment="1">
      <alignment horizontal="right" vertical="center" wrapText="1"/>
    </xf>
    <xf numFmtId="9" fontId="30" fillId="2" borderId="16" xfId="0" applyNumberFormat="1" applyFont="1" applyFill="1" applyBorder="1" applyAlignment="1">
      <alignment horizontal="right" vertical="center"/>
    </xf>
    <xf numFmtId="0" fontId="34" fillId="0" borderId="3" xfId="0" applyFont="1" applyBorder="1" applyAlignment="1">
      <alignment vertical="center" wrapText="1"/>
    </xf>
    <xf numFmtId="0" fontId="36" fillId="0" borderId="3" xfId="0" applyFont="1" applyBorder="1" applyAlignment="1">
      <alignment vertical="center" wrapText="1"/>
    </xf>
    <xf numFmtId="0" fontId="36" fillId="0" borderId="40" xfId="0" applyFont="1" applyBorder="1" applyAlignment="1">
      <alignment vertical="center" wrapText="1"/>
    </xf>
    <xf numFmtId="0" fontId="36" fillId="0" borderId="23" xfId="0" applyFont="1" applyBorder="1" applyAlignment="1">
      <alignment horizontal="center" vertical="center" wrapText="1"/>
    </xf>
    <xf numFmtId="3" fontId="36"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0" fontId="36" fillId="2" borderId="3" xfId="0" applyFont="1" applyFill="1" applyBorder="1" applyAlignment="1">
      <alignment vertical="center" wrapText="1"/>
    </xf>
    <xf numFmtId="3" fontId="34" fillId="0" borderId="3" xfId="0" applyNumberFormat="1" applyFont="1" applyBorder="1" applyAlignment="1">
      <alignment vertical="center" wrapText="1"/>
    </xf>
    <xf numFmtId="49" fontId="7" fillId="0" borderId="17" xfId="0" applyNumberFormat="1" applyFont="1" applyFill="1" applyBorder="1" applyAlignment="1">
      <alignment horizontal="center" vertical="center" wrapText="1"/>
    </xf>
    <xf numFmtId="164" fontId="5" fillId="2" borderId="19" xfId="0" applyNumberFormat="1" applyFont="1" applyFill="1" applyBorder="1" applyAlignment="1">
      <alignment vertical="center"/>
    </xf>
    <xf numFmtId="0" fontId="7" fillId="0" borderId="21" xfId="0" applyFont="1" applyFill="1" applyBorder="1" applyAlignment="1">
      <alignment horizontal="center" vertical="center" wrapText="1"/>
    </xf>
    <xf numFmtId="0" fontId="13" fillId="0" borderId="34" xfId="0" applyFont="1" applyBorder="1" applyAlignment="1">
      <alignment horizontal="center" vertical="center"/>
    </xf>
    <xf numFmtId="0" fontId="7" fillId="0" borderId="0" xfId="0" applyFont="1" applyAlignment="1">
      <alignment horizontal="left" vertical="center"/>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6" fillId="2" borderId="12"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6" fillId="2" borderId="17" xfId="0" applyFont="1" applyFill="1" applyBorder="1" applyAlignment="1">
      <alignment horizontal="center" vertical="center"/>
    </xf>
    <xf numFmtId="0" fontId="36" fillId="2" borderId="26"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0" fontId="36" fillId="0" borderId="27" xfId="0" applyFont="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0" fontId="36" fillId="0" borderId="1" xfId="0" applyFont="1" applyBorder="1" applyAlignment="1">
      <alignment horizontal="center" vertical="center" wrapText="1"/>
    </xf>
    <xf numFmtId="0" fontId="0" fillId="0" borderId="0" xfId="0" applyFill="1"/>
    <xf numFmtId="0" fontId="12" fillId="0" borderId="0" xfId="0" applyFont="1" applyFill="1"/>
    <xf numFmtId="0" fontId="7" fillId="0" borderId="0" xfId="0" applyFont="1" applyFill="1" applyAlignment="1">
      <alignment vertical="center"/>
    </xf>
    <xf numFmtId="49" fontId="7" fillId="0" borderId="0" xfId="0" applyNumberFormat="1" applyFont="1" applyFill="1" applyAlignment="1">
      <alignment vertical="center"/>
    </xf>
    <xf numFmtId="49" fontId="7" fillId="0" borderId="2" xfId="0" applyNumberFormat="1" applyFont="1" applyFill="1" applyBorder="1" applyAlignment="1">
      <alignment vertical="center"/>
    </xf>
    <xf numFmtId="49" fontId="7" fillId="0" borderId="4" xfId="0" applyNumberFormat="1" applyFont="1" applyFill="1" applyBorder="1" applyAlignment="1">
      <alignment vertical="center"/>
    </xf>
    <xf numFmtId="0" fontId="7" fillId="0" borderId="2" xfId="0" applyFont="1" applyFill="1" applyBorder="1"/>
    <xf numFmtId="0" fontId="9" fillId="0" borderId="0" xfId="0" applyFont="1" applyFill="1" applyAlignment="1">
      <alignment vertical="center"/>
    </xf>
    <xf numFmtId="0" fontId="28" fillId="0" borderId="4" xfId="0" applyFont="1" applyFill="1" applyBorder="1" applyAlignment="1">
      <alignment horizontal="left" wrapText="1"/>
    </xf>
    <xf numFmtId="0" fontId="28" fillId="0" borderId="1" xfId="0" applyFont="1" applyFill="1" applyBorder="1" applyAlignment="1">
      <alignment wrapText="1"/>
    </xf>
    <xf numFmtId="3" fontId="5" fillId="0" borderId="19" xfId="0" applyNumberFormat="1" applyFont="1" applyFill="1" applyBorder="1" applyAlignment="1">
      <alignment horizontal="right" vertical="center"/>
    </xf>
    <xf numFmtId="0" fontId="5" fillId="0" borderId="0" xfId="0" applyFont="1" applyFill="1"/>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164" fontId="6" fillId="0" borderId="0" xfId="0" applyNumberFormat="1" applyFont="1" applyFill="1" applyBorder="1" applyAlignment="1">
      <alignment horizontal="right" vertical="center"/>
    </xf>
    <xf numFmtId="0" fontId="5" fillId="0" borderId="0" xfId="0" applyFont="1" applyFill="1" applyBorder="1"/>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5" fillId="0" borderId="0" xfId="0" applyFont="1" applyFill="1" applyAlignment="1">
      <alignment horizontal="left" vertical="center"/>
    </xf>
    <xf numFmtId="0" fontId="16" fillId="0" borderId="0" xfId="0" applyFont="1" applyFill="1" applyAlignment="1">
      <alignment horizontal="left" vertical="center"/>
    </xf>
    <xf numFmtId="3" fontId="16" fillId="0" borderId="0" xfId="0" applyNumberFormat="1" applyFont="1" applyFill="1" applyAlignment="1">
      <alignment horizontal="left" vertical="center"/>
    </xf>
    <xf numFmtId="2" fontId="15" fillId="0" borderId="0" xfId="0" applyNumberFormat="1" applyFont="1" applyFill="1" applyAlignment="1">
      <alignment horizontal="left" vertical="center"/>
    </xf>
    <xf numFmtId="0" fontId="15" fillId="0" borderId="0" xfId="0" applyFont="1" applyFill="1" applyAlignment="1">
      <alignment vertical="center"/>
    </xf>
    <xf numFmtId="0" fontId="14" fillId="0" borderId="0" xfId="0" applyFont="1" applyFill="1" applyAlignment="1">
      <alignment vertical="center"/>
    </xf>
    <xf numFmtId="0" fontId="3" fillId="0" borderId="0" xfId="0" applyFont="1" applyFill="1"/>
    <xf numFmtId="0" fontId="7" fillId="0" borderId="0" xfId="0" applyFont="1" applyFill="1" applyAlignment="1">
      <alignment horizontal="right" vertical="center"/>
    </xf>
    <xf numFmtId="0" fontId="5" fillId="0" borderId="0" xfId="0" applyFont="1" applyFill="1" applyAlignment="1">
      <alignment vertical="center"/>
    </xf>
    <xf numFmtId="49" fontId="3" fillId="2" borderId="26"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21" fillId="2" borderId="15" xfId="0" quotePrefix="1" applyFont="1" applyFill="1" applyBorder="1" applyAlignment="1">
      <alignment horizontal="center" vertical="center" wrapText="1"/>
    </xf>
    <xf numFmtId="0" fontId="30" fillId="3" borderId="15" xfId="0" applyFont="1" applyFill="1" applyBorder="1" applyAlignment="1">
      <alignment horizontal="left" vertical="center" wrapText="1"/>
    </xf>
    <xf numFmtId="49" fontId="30" fillId="0" borderId="15" xfId="0" applyNumberFormat="1" applyFont="1" applyBorder="1" applyAlignment="1">
      <alignment horizontal="center" vertical="center" wrapText="1"/>
    </xf>
    <xf numFmtId="3" fontId="30" fillId="0" borderId="15" xfId="0" applyNumberFormat="1" applyFont="1" applyBorder="1" applyAlignment="1">
      <alignment horizontal="right" vertical="center" wrapText="1"/>
    </xf>
    <xf numFmtId="9" fontId="30" fillId="0" borderId="16" xfId="0" applyNumberFormat="1" applyFont="1" applyBorder="1" applyAlignment="1">
      <alignment horizontal="right" vertical="center" wrapText="1"/>
    </xf>
    <xf numFmtId="49" fontId="38" fillId="2" borderId="17" xfId="0" applyNumberFormat="1" applyFont="1" applyFill="1" applyBorder="1" applyAlignment="1">
      <alignment horizontal="center" vertical="center" wrapText="1"/>
    </xf>
    <xf numFmtId="3" fontId="30" fillId="0" borderId="18" xfId="0" applyNumberFormat="1" applyFont="1" applyBorder="1" applyAlignment="1">
      <alignment horizontal="right" vertical="center" wrapText="1"/>
    </xf>
    <xf numFmtId="49" fontId="30" fillId="0" borderId="1" xfId="0" applyNumberFormat="1" applyFont="1" applyBorder="1" applyAlignment="1">
      <alignment horizontal="center" vertical="center" wrapText="1"/>
    </xf>
    <xf numFmtId="3" fontId="30" fillId="0" borderId="1" xfId="0" applyNumberFormat="1" applyFont="1" applyBorder="1" applyAlignment="1">
      <alignment horizontal="right" vertical="center" wrapText="1"/>
    </xf>
    <xf numFmtId="0" fontId="21" fillId="2" borderId="25" xfId="0" quotePrefix="1" applyFont="1" applyFill="1" applyBorder="1" applyAlignment="1">
      <alignment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6" fillId="3" borderId="25" xfId="0" applyFont="1" applyFill="1" applyBorder="1" applyAlignment="1">
      <alignment horizontal="left" vertical="center" wrapText="1"/>
    </xf>
    <xf numFmtId="49" fontId="36" fillId="0" borderId="25" xfId="0" applyNumberFormat="1" applyFont="1" applyBorder="1" applyAlignment="1">
      <alignment horizontal="center" vertical="center" wrapText="1"/>
    </xf>
    <xf numFmtId="3" fontId="36" fillId="0" borderId="25" xfId="0" applyNumberFormat="1" applyFont="1" applyBorder="1" applyAlignment="1">
      <alignment horizontal="right" vertical="center" wrapText="1"/>
    </xf>
    <xf numFmtId="168" fontId="30" fillId="0" borderId="25" xfId="1" applyNumberFormat="1" applyFont="1" applyFill="1" applyBorder="1" applyAlignment="1">
      <alignment horizontal="right" vertical="center" wrapText="1"/>
    </xf>
    <xf numFmtId="9" fontId="36" fillId="0" borderId="50" xfId="0" applyNumberFormat="1" applyFont="1" applyBorder="1" applyAlignment="1">
      <alignment horizontal="right" vertical="center" wrapText="1"/>
    </xf>
    <xf numFmtId="0" fontId="37" fillId="2" borderId="26" xfId="0" applyFont="1" applyFill="1" applyBorder="1" applyAlignment="1">
      <alignment horizontal="center" vertical="center" wrapText="1"/>
    </xf>
    <xf numFmtId="0" fontId="34" fillId="0" borderId="12" xfId="0" applyFont="1" applyBorder="1" applyAlignment="1">
      <alignment vertical="center" wrapText="1"/>
    </xf>
    <xf numFmtId="3" fontId="34" fillId="0" borderId="12" xfId="0" applyNumberFormat="1" applyFont="1" applyBorder="1" applyAlignment="1">
      <alignment vertical="center"/>
    </xf>
    <xf numFmtId="9" fontId="34" fillId="0" borderId="12" xfId="0" applyNumberFormat="1" applyFont="1" applyBorder="1" applyAlignment="1">
      <alignment vertical="center" wrapText="1"/>
    </xf>
    <xf numFmtId="3" fontId="34" fillId="0" borderId="12" xfId="0" applyNumberFormat="1" applyFont="1" applyBorder="1" applyAlignment="1">
      <alignment horizontal="right" vertical="center"/>
    </xf>
    <xf numFmtId="0" fontId="35" fillId="0" borderId="1" xfId="0" applyFont="1" applyBorder="1" applyAlignment="1">
      <alignment vertical="center" wrapText="1"/>
    </xf>
    <xf numFmtId="0" fontId="13" fillId="0" borderId="1" xfId="0" applyFont="1" applyBorder="1"/>
    <xf numFmtId="3" fontId="13" fillId="2" borderId="0" xfId="0" applyNumberFormat="1" applyFont="1" applyFill="1"/>
    <xf numFmtId="3" fontId="34" fillId="2" borderId="40" xfId="0" applyNumberFormat="1" applyFont="1" applyFill="1" applyBorder="1" applyAlignment="1">
      <alignment vertical="center" wrapText="1"/>
    </xf>
    <xf numFmtId="9" fontId="30" fillId="3" borderId="51" xfId="0" applyNumberFormat="1" applyFont="1" applyFill="1" applyBorder="1" applyAlignment="1">
      <alignment horizontal="center" vertical="center" wrapText="1"/>
    </xf>
    <xf numFmtId="0" fontId="37" fillId="0" borderId="0" xfId="0" applyFont="1" applyBorder="1" applyAlignment="1">
      <alignment horizontal="center" vertical="center" wrapText="1"/>
    </xf>
    <xf numFmtId="9" fontId="30" fillId="0" borderId="19" xfId="0" applyNumberFormat="1" applyFont="1" applyBorder="1" applyAlignment="1">
      <alignment horizontal="right" vertical="center" wrapText="1"/>
    </xf>
    <xf numFmtId="9" fontId="30" fillId="0" borderId="10" xfId="0" applyNumberFormat="1" applyFont="1" applyBorder="1" applyAlignment="1">
      <alignment horizontal="right" vertical="center" wrapText="1"/>
    </xf>
    <xf numFmtId="0" fontId="3" fillId="2" borderId="0" xfId="0" applyFont="1" applyFill="1" applyBorder="1" applyAlignment="1">
      <alignment horizontal="left" vertical="center" wrapText="1"/>
    </xf>
    <xf numFmtId="3" fontId="34" fillId="0" borderId="0" xfId="0" applyNumberFormat="1" applyFont="1" applyBorder="1" applyAlignment="1">
      <alignment horizontal="right" vertical="center"/>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164" fontId="5" fillId="2" borderId="25" xfId="0" applyNumberFormat="1" applyFont="1" applyFill="1" applyBorder="1" applyAlignment="1">
      <alignment vertical="center"/>
    </xf>
    <xf numFmtId="164" fontId="5" fillId="2" borderId="25" xfId="0" applyNumberFormat="1" applyFont="1" applyFill="1" applyBorder="1" applyAlignment="1">
      <alignment horizontal="right" vertical="center"/>
    </xf>
    <xf numFmtId="164" fontId="5" fillId="2" borderId="50" xfId="0" applyNumberFormat="1" applyFont="1" applyFill="1" applyBorder="1" applyAlignment="1">
      <alignment vertic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9" fontId="30" fillId="3" borderId="1" xfId="0" applyNumberFormat="1" applyFont="1" applyFill="1" applyBorder="1" applyAlignment="1">
      <alignment horizontal="right" vertical="center" wrapText="1"/>
    </xf>
    <xf numFmtId="0" fontId="7" fillId="0" borderId="0" xfId="0" applyFont="1" applyFill="1" applyBorder="1" applyAlignment="1">
      <alignment horizontal="left" vertical="center"/>
    </xf>
    <xf numFmtId="0" fontId="19" fillId="0" borderId="0" xfId="0" applyFont="1" applyAlignment="1">
      <alignment horizontal="left"/>
    </xf>
    <xf numFmtId="0" fontId="7" fillId="0" borderId="0" xfId="0" applyFont="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xf>
    <xf numFmtId="0" fontId="21" fillId="0" borderId="0" xfId="0" applyFont="1" applyAlignment="1">
      <alignment horizontal="center"/>
    </xf>
    <xf numFmtId="0" fontId="22" fillId="0" borderId="0" xfId="0" applyFont="1" applyAlignment="1">
      <alignment horizontal="center"/>
    </xf>
    <xf numFmtId="0" fontId="24" fillId="0" borderId="0" xfId="0" applyFont="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6" fillId="2" borderId="34" xfId="0" applyFont="1" applyFill="1" applyBorder="1" applyAlignment="1">
      <alignment horizontal="left" vertical="center"/>
    </xf>
    <xf numFmtId="0" fontId="5" fillId="2" borderId="4" xfId="0" applyFont="1" applyFill="1" applyBorder="1" applyAlignment="1">
      <alignment horizontal="left"/>
    </xf>
    <xf numFmtId="0" fontId="5" fillId="2" borderId="36" xfId="0" applyFont="1" applyFill="1" applyBorder="1" applyAlignment="1">
      <alignment horizontal="left"/>
    </xf>
    <xf numFmtId="164" fontId="6" fillId="2" borderId="34"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6"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7" fillId="2" borderId="2" xfId="0" applyFont="1" applyFill="1" applyBorder="1" applyAlignment="1">
      <alignment horizontal="left"/>
    </xf>
    <xf numFmtId="0" fontId="1" fillId="2" borderId="1" xfId="0" applyFont="1" applyFill="1" applyBorder="1" applyAlignment="1">
      <alignment horizontal="right" vertical="center" wrapText="1"/>
    </xf>
    <xf numFmtId="0" fontId="1" fillId="2" borderId="1" xfId="0" applyFont="1" applyFill="1" applyBorder="1" applyAlignment="1">
      <alignment horizontal="center"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0" xfId="0" applyFont="1" applyFill="1" applyAlignment="1">
      <alignment horizontal="center" vertical="center"/>
    </xf>
    <xf numFmtId="0" fontId="7" fillId="0" borderId="3" xfId="0" applyFont="1" applyBorder="1" applyAlignment="1">
      <alignment horizontal="left" wrapText="1"/>
    </xf>
    <xf numFmtId="0" fontId="7" fillId="0" borderId="5" xfId="0" applyFont="1" applyBorder="1" applyAlignment="1">
      <alignment horizontal="left" wrapText="1"/>
    </xf>
    <xf numFmtId="0" fontId="7" fillId="0" borderId="0" xfId="0" applyFont="1" applyAlignment="1">
      <alignment horizontal="center" vertical="center"/>
    </xf>
    <xf numFmtId="0" fontId="5" fillId="0" borderId="0" xfId="0" applyFont="1" applyAlignment="1">
      <alignment horizontal="left"/>
    </xf>
    <xf numFmtId="0" fontId="1" fillId="0" borderId="38" xfId="0" applyFont="1" applyBorder="1" applyAlignment="1">
      <alignment horizontal="center" vertical="top" wrapText="1"/>
    </xf>
    <xf numFmtId="0" fontId="1" fillId="0" borderId="30" xfId="0" applyFont="1" applyBorder="1" applyAlignment="1">
      <alignment horizontal="center" vertical="top" wrapText="1"/>
    </xf>
    <xf numFmtId="0" fontId="5" fillId="0" borderId="40" xfId="0" applyFont="1" applyBorder="1" applyAlignment="1">
      <alignment horizontal="center" vertical="top" wrapText="1"/>
    </xf>
    <xf numFmtId="0" fontId="5" fillId="0" borderId="23" xfId="0" applyFont="1" applyBorder="1" applyAlignment="1">
      <alignment horizontal="center" vertical="top" wrapTex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3" xfId="0" applyFont="1" applyBorder="1" applyAlignment="1">
      <alignment horizontal="center" wrapText="1"/>
    </xf>
    <xf numFmtId="0" fontId="6" fillId="0" borderId="5" xfId="0" applyFont="1" applyBorder="1" applyAlignment="1">
      <alignment horizont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0" xfId="0" applyFont="1" applyAlignment="1">
      <alignment horizontal="center"/>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wrapText="1"/>
    </xf>
    <xf numFmtId="0" fontId="13" fillId="0" borderId="5" xfId="0" applyFont="1" applyBorder="1" applyAlignment="1">
      <alignment horizontal="center" wrapText="1"/>
    </xf>
    <xf numFmtId="0" fontId="6" fillId="0" borderId="3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5" fillId="0" borderId="0" xfId="0" applyFont="1" applyFill="1" applyAlignment="1">
      <alignment horizontal="center" wrapText="1"/>
    </xf>
    <xf numFmtId="0" fontId="7" fillId="0" borderId="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0" xfId="0" applyFont="1" applyFill="1" applyAlignment="1">
      <alignment horizontal="center"/>
    </xf>
    <xf numFmtId="0" fontId="3" fillId="0" borderId="0" xfId="0" applyFont="1" applyFill="1" applyAlignment="1">
      <alignment horizontal="center"/>
    </xf>
    <xf numFmtId="1" fontId="46" fillId="0" borderId="0" xfId="0" quotePrefix="1" applyNumberFormat="1" applyFont="1" applyFill="1" applyAlignment="1">
      <alignment horizontal="left"/>
    </xf>
    <xf numFmtId="0" fontId="9" fillId="0" borderId="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36" fillId="2" borderId="18" xfId="0"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49" fontId="36" fillId="2" borderId="12"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0" fontId="37" fillId="2" borderId="12" xfId="0" quotePrefix="1"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0" fontId="37" fillId="2" borderId="18" xfId="0" quotePrefix="1"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17" xfId="0" applyFont="1" applyFill="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49" fontId="36" fillId="2" borderId="17"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3" fontId="37" fillId="2" borderId="27"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0" fontId="36" fillId="2" borderId="26"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horizontal="left" vertical="center" wrapText="1"/>
    </xf>
    <xf numFmtId="49" fontId="7" fillId="0" borderId="45"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3" fontId="36" fillId="0" borderId="1" xfId="0" applyNumberFormat="1" applyFont="1" applyBorder="1" applyAlignment="1">
      <alignment horizontal="center" vertical="center" wrapText="1"/>
    </xf>
    <xf numFmtId="0" fontId="36" fillId="0" borderId="27" xfId="0" applyFont="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3" fontId="36" fillId="2" borderId="12" xfId="0" applyNumberFormat="1" applyFont="1" applyFill="1" applyBorder="1" applyAlignment="1">
      <alignment horizontal="center" vertical="center" wrapText="1"/>
    </xf>
    <xf numFmtId="3" fontId="36" fillId="2" borderId="18" xfId="0" applyNumberFormat="1" applyFont="1" applyFill="1" applyBorder="1" applyAlignment="1">
      <alignment horizontal="center" vertical="center" wrapText="1"/>
    </xf>
    <xf numFmtId="1" fontId="36" fillId="2" borderId="12" xfId="0" applyNumberFormat="1" applyFont="1" applyFill="1" applyBorder="1" applyAlignment="1">
      <alignment horizontal="center" vertical="center" wrapText="1"/>
    </xf>
    <xf numFmtId="1" fontId="36" fillId="2" borderId="27" xfId="0" applyNumberFormat="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0" fontId="40" fillId="2" borderId="17" xfId="0" applyFont="1" applyFill="1" applyBorder="1" applyAlignment="1">
      <alignment horizontal="center" vertical="center"/>
    </xf>
    <xf numFmtId="0" fontId="40" fillId="2" borderId="18"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36"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22" fillId="0" borderId="12" xfId="0" quotePrefix="1" applyNumberFormat="1" applyFont="1" applyBorder="1" applyAlignment="1">
      <alignment horizontal="center" vertical="center" wrapText="1"/>
    </xf>
    <xf numFmtId="49" fontId="22" fillId="0" borderId="18" xfId="0" quotePrefix="1" applyNumberFormat="1" applyFont="1" applyBorder="1" applyAlignment="1">
      <alignment horizontal="center" vertical="center" wrapText="1"/>
    </xf>
    <xf numFmtId="0" fontId="36" fillId="2" borderId="11" xfId="0" applyFont="1" applyFill="1" applyBorder="1" applyAlignment="1">
      <alignment horizontal="center" vertical="center"/>
    </xf>
    <xf numFmtId="0" fontId="36" fillId="2" borderId="17" xfId="0" applyFont="1" applyFill="1" applyBorder="1" applyAlignment="1">
      <alignment horizontal="center" vertical="center"/>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0" fontId="41" fillId="0" borderId="12" xfId="0" applyFont="1" applyBorder="1" applyAlignment="1">
      <alignment horizontal="center" vertical="center"/>
    </xf>
    <xf numFmtId="0" fontId="41" fillId="0" borderId="18" xfId="0" applyFont="1" applyBorder="1" applyAlignment="1">
      <alignment horizontal="center" vertical="center"/>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15" fillId="0" borderId="0" xfId="0" applyFont="1" applyAlignment="1">
      <alignment horizontal="center" wrapText="1"/>
    </xf>
    <xf numFmtId="49" fontId="3"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7" fillId="0" borderId="0" xfId="0" applyFont="1" applyFill="1" applyBorder="1" applyAlignment="1"/>
    <xf numFmtId="3" fontId="12" fillId="0" borderId="1" xfId="0" applyNumberFormat="1" applyFont="1" applyFill="1" applyBorder="1" applyAlignment="1">
      <alignment vertical="center"/>
    </xf>
  </cellXfs>
  <cellStyles count="5">
    <cellStyle name="Обычный" xfId="0" builtinId="0"/>
    <cellStyle name="Обычный 2" xfId="3"/>
    <cellStyle name="Обычный 9 2 4 2 2" xfId="2"/>
    <cellStyle name="Процентный" xfId="4" builtinId="5"/>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92"/>
  <sheetViews>
    <sheetView view="pageBreakPreview" zoomScale="92" zoomScaleNormal="100" zoomScaleSheetLayoutView="92" workbookViewId="0">
      <selection activeCell="L21" sqref="L21"/>
    </sheetView>
  </sheetViews>
  <sheetFormatPr defaultColWidth="8.85546875" defaultRowHeight="12.75" x14ac:dyDescent="0.2"/>
  <cols>
    <col min="1" max="1" width="11.28515625" customWidth="1"/>
    <col min="2" max="2" width="47.28515625" customWidth="1"/>
    <col min="3" max="3" width="17.85546875" customWidth="1"/>
    <col min="4" max="4" width="18.28515625" customWidth="1"/>
    <col min="5" max="6" width="15.7109375" customWidth="1"/>
  </cols>
  <sheetData>
    <row r="1" spans="1:9" ht="15.75" x14ac:dyDescent="0.2">
      <c r="D1" s="99" t="s">
        <v>165</v>
      </c>
      <c r="E1" s="4"/>
    </row>
    <row r="2" spans="1:9" ht="15.75" x14ac:dyDescent="0.2">
      <c r="D2" s="99" t="s">
        <v>281</v>
      </c>
      <c r="E2" s="4"/>
    </row>
    <row r="3" spans="1:9" ht="15.75" x14ac:dyDescent="0.25">
      <c r="D3" s="100" t="s">
        <v>661</v>
      </c>
      <c r="E3" s="226"/>
    </row>
    <row r="4" spans="1:9" ht="15.75" x14ac:dyDescent="0.25">
      <c r="D4" s="101" t="s">
        <v>662</v>
      </c>
      <c r="E4" s="919"/>
    </row>
    <row r="5" spans="1:9" ht="15.75" x14ac:dyDescent="0.2">
      <c r="D5" s="747" t="s">
        <v>460</v>
      </c>
      <c r="E5" s="747"/>
    </row>
    <row r="6" spans="1:9" ht="15.75" x14ac:dyDescent="0.2">
      <c r="D6" s="750" t="s">
        <v>456</v>
      </c>
      <c r="E6" s="750"/>
      <c r="F6" s="750"/>
      <c r="G6" s="750"/>
      <c r="H6" s="750"/>
      <c r="I6" s="750"/>
    </row>
    <row r="7" spans="1:9" ht="15.75" x14ac:dyDescent="0.2">
      <c r="D7" s="749" t="s">
        <v>281</v>
      </c>
      <c r="E7" s="749"/>
      <c r="F7" s="749"/>
      <c r="G7" s="111"/>
      <c r="H7" s="111"/>
      <c r="I7" s="111"/>
    </row>
    <row r="8" spans="1:9" ht="15.75" x14ac:dyDescent="0.2">
      <c r="D8" s="751" t="s">
        <v>291</v>
      </c>
      <c r="E8" s="751"/>
      <c r="F8" s="751"/>
      <c r="G8" s="111"/>
      <c r="H8" s="111"/>
      <c r="I8" s="111"/>
    </row>
    <row r="9" spans="1:9" ht="15.75" x14ac:dyDescent="0.2">
      <c r="D9" s="751" t="s">
        <v>282</v>
      </c>
      <c r="E9" s="751"/>
      <c r="F9" s="751"/>
      <c r="G9" s="111"/>
      <c r="H9" s="111"/>
      <c r="I9" s="111"/>
    </row>
    <row r="10" spans="1:9" ht="15.75" x14ac:dyDescent="0.25">
      <c r="D10" s="748" t="s">
        <v>457</v>
      </c>
      <c r="E10" s="748"/>
      <c r="F10" s="748"/>
      <c r="G10" s="749"/>
      <c r="H10" s="749"/>
      <c r="I10" s="749"/>
    </row>
    <row r="11" spans="1:9" ht="15.75" x14ac:dyDescent="0.25">
      <c r="D11" s="748" t="s">
        <v>292</v>
      </c>
      <c r="E11" s="752"/>
      <c r="F11" s="752"/>
      <c r="G11" s="751"/>
      <c r="H11" s="751"/>
      <c r="I11" s="751"/>
    </row>
    <row r="12" spans="1:9" ht="15.75" x14ac:dyDescent="0.25">
      <c r="D12" s="752" t="s">
        <v>458</v>
      </c>
      <c r="E12" s="752"/>
      <c r="F12" s="752"/>
      <c r="G12" s="751"/>
      <c r="H12" s="751"/>
      <c r="I12" s="751"/>
    </row>
    <row r="13" spans="1:9" ht="34.5" customHeight="1" x14ac:dyDescent="0.3">
      <c r="A13" s="753" t="s">
        <v>293</v>
      </c>
      <c r="B13" s="754"/>
      <c r="C13" s="754"/>
      <c r="D13" s="754"/>
      <c r="E13" s="754"/>
      <c r="F13" s="754"/>
      <c r="G13" s="748"/>
      <c r="H13" s="748"/>
      <c r="I13" s="748"/>
    </row>
    <row r="14" spans="1:9" ht="15.75" x14ac:dyDescent="0.25">
      <c r="A14" s="757" t="s">
        <v>166</v>
      </c>
      <c r="B14" s="757"/>
      <c r="C14" s="1"/>
      <c r="D14" s="1"/>
      <c r="E14" s="1"/>
      <c r="F14" s="1"/>
      <c r="G14" s="752"/>
      <c r="H14" s="752"/>
      <c r="I14" s="752"/>
    </row>
    <row r="15" spans="1:9" ht="16.5" thickBot="1" x14ac:dyDescent="0.3">
      <c r="A15" s="1" t="s">
        <v>0</v>
      </c>
      <c r="B15" s="1"/>
      <c r="C15" s="1"/>
      <c r="D15" s="1"/>
      <c r="E15" s="1"/>
      <c r="F15" s="2" t="s">
        <v>283</v>
      </c>
      <c r="G15" s="752"/>
      <c r="H15" s="752"/>
      <c r="I15" s="752"/>
    </row>
    <row r="16" spans="1:9" ht="15.75" x14ac:dyDescent="0.2">
      <c r="A16" s="758" t="s">
        <v>294</v>
      </c>
      <c r="B16" s="760" t="s">
        <v>295</v>
      </c>
      <c r="C16" s="760" t="s">
        <v>1</v>
      </c>
      <c r="D16" s="760" t="s">
        <v>2</v>
      </c>
      <c r="E16" s="760" t="s">
        <v>3</v>
      </c>
      <c r="F16" s="762"/>
    </row>
    <row r="17" spans="1:7" x14ac:dyDescent="0.2">
      <c r="A17" s="759"/>
      <c r="B17" s="761"/>
      <c r="C17" s="761"/>
      <c r="D17" s="761"/>
      <c r="E17" s="761" t="s">
        <v>4</v>
      </c>
      <c r="F17" s="763" t="s">
        <v>5</v>
      </c>
    </row>
    <row r="18" spans="1:7" x14ac:dyDescent="0.2">
      <c r="A18" s="759"/>
      <c r="B18" s="761"/>
      <c r="C18" s="761"/>
      <c r="D18" s="761"/>
      <c r="E18" s="761"/>
      <c r="F18" s="763"/>
    </row>
    <row r="19" spans="1:7" ht="15.75" x14ac:dyDescent="0.2">
      <c r="A19" s="25">
        <v>1</v>
      </c>
      <c r="B19" s="229">
        <v>2</v>
      </c>
      <c r="C19" s="229">
        <v>3</v>
      </c>
      <c r="D19" s="229">
        <v>4</v>
      </c>
      <c r="E19" s="229">
        <v>5</v>
      </c>
      <c r="F19" s="230">
        <v>6</v>
      </c>
    </row>
    <row r="20" spans="1:7" ht="15.75" x14ac:dyDescent="0.2">
      <c r="A20" s="231" t="s">
        <v>296</v>
      </c>
      <c r="B20" s="112" t="s">
        <v>297</v>
      </c>
      <c r="C20" s="113">
        <f t="shared" ref="C20:C27" si="0">D20</f>
        <v>464416136</v>
      </c>
      <c r="D20" s="113">
        <f>D21+D24+D28</f>
        <v>464416136</v>
      </c>
      <c r="E20" s="114">
        <f>E42</f>
        <v>359600</v>
      </c>
      <c r="F20" s="232">
        <v>0</v>
      </c>
      <c r="G20" s="115"/>
    </row>
    <row r="21" spans="1:7" ht="45" customHeight="1" x14ac:dyDescent="0.2">
      <c r="A21" s="233" t="s">
        <v>298</v>
      </c>
      <c r="B21" s="116" t="s">
        <v>299</v>
      </c>
      <c r="C21" s="117">
        <f t="shared" si="0"/>
        <v>283429336</v>
      </c>
      <c r="D21" s="117">
        <f>D22+D23</f>
        <v>283429336</v>
      </c>
      <c r="E21" s="114">
        <v>0</v>
      </c>
      <c r="F21" s="232">
        <v>0</v>
      </c>
      <c r="G21" s="115"/>
    </row>
    <row r="22" spans="1:7" ht="21" customHeight="1" x14ac:dyDescent="0.2">
      <c r="A22" s="234" t="s">
        <v>300</v>
      </c>
      <c r="B22" s="118" t="s">
        <v>301</v>
      </c>
      <c r="C22" s="12">
        <f t="shared" si="0"/>
        <v>283327036</v>
      </c>
      <c r="D22" s="12">
        <f>207344500+32239700+9230396+27255800+7256640</f>
        <v>283327036</v>
      </c>
      <c r="E22" s="114">
        <v>0</v>
      </c>
      <c r="F22" s="232">
        <v>0</v>
      </c>
      <c r="G22" s="115"/>
    </row>
    <row r="23" spans="1:7" ht="15.75" x14ac:dyDescent="0.2">
      <c r="A23" s="234" t="s">
        <v>302</v>
      </c>
      <c r="B23" s="118" t="s">
        <v>303</v>
      </c>
      <c r="C23" s="12">
        <f t="shared" si="0"/>
        <v>102300</v>
      </c>
      <c r="D23" s="12">
        <v>102300</v>
      </c>
      <c r="E23" s="12">
        <v>0</v>
      </c>
      <c r="F23" s="232">
        <v>0</v>
      </c>
      <c r="G23" s="115"/>
    </row>
    <row r="24" spans="1:7" ht="29.45" customHeight="1" x14ac:dyDescent="0.2">
      <c r="A24" s="233" t="s">
        <v>304</v>
      </c>
      <c r="B24" s="116" t="s">
        <v>305</v>
      </c>
      <c r="C24" s="119">
        <f t="shared" si="0"/>
        <v>19638200</v>
      </c>
      <c r="D24" s="119">
        <f>D25+D26+D27</f>
        <v>19638200</v>
      </c>
      <c r="E24" s="114">
        <v>0</v>
      </c>
      <c r="F24" s="232">
        <v>0</v>
      </c>
      <c r="G24" s="115"/>
    </row>
    <row r="25" spans="1:7" ht="31.5" x14ac:dyDescent="0.2">
      <c r="A25" s="234" t="s">
        <v>306</v>
      </c>
      <c r="B25" s="118" t="s">
        <v>307</v>
      </c>
      <c r="C25" s="12">
        <f t="shared" si="0"/>
        <v>443200</v>
      </c>
      <c r="D25" s="12">
        <v>443200</v>
      </c>
      <c r="E25" s="12">
        <v>0</v>
      </c>
      <c r="F25" s="232">
        <v>0</v>
      </c>
      <c r="G25" s="115"/>
    </row>
    <row r="26" spans="1:7" ht="47.25" x14ac:dyDescent="0.2">
      <c r="A26" s="234" t="s">
        <v>308</v>
      </c>
      <c r="B26" s="118" t="s">
        <v>309</v>
      </c>
      <c r="C26" s="12">
        <f t="shared" si="0"/>
        <v>5118800</v>
      </c>
      <c r="D26" s="12">
        <v>5118800</v>
      </c>
      <c r="E26" s="12">
        <v>0</v>
      </c>
      <c r="F26" s="232">
        <v>0</v>
      </c>
      <c r="G26" s="115"/>
    </row>
    <row r="27" spans="1:7" ht="47.25" x14ac:dyDescent="0.2">
      <c r="A27" s="234" t="s">
        <v>310</v>
      </c>
      <c r="B27" s="118" t="s">
        <v>311</v>
      </c>
      <c r="C27" s="12">
        <f t="shared" si="0"/>
        <v>14076200</v>
      </c>
      <c r="D27" s="12">
        <v>14076200</v>
      </c>
      <c r="E27" s="12">
        <v>0</v>
      </c>
      <c r="F27" s="232">
        <v>0</v>
      </c>
      <c r="G27" s="115"/>
    </row>
    <row r="28" spans="1:7" ht="47.25" x14ac:dyDescent="0.2">
      <c r="A28" s="233" t="s">
        <v>312</v>
      </c>
      <c r="B28" s="116" t="s">
        <v>313</v>
      </c>
      <c r="C28" s="119">
        <f>D28</f>
        <v>161348600</v>
      </c>
      <c r="D28" s="119">
        <f>D29+D40+D41</f>
        <v>161348600</v>
      </c>
      <c r="E28" s="114">
        <v>0</v>
      </c>
      <c r="F28" s="232">
        <v>0</v>
      </c>
      <c r="G28" s="115"/>
    </row>
    <row r="29" spans="1:7" ht="15.75" x14ac:dyDescent="0.2">
      <c r="A29" s="234" t="s">
        <v>314</v>
      </c>
      <c r="B29" s="118" t="s">
        <v>315</v>
      </c>
      <c r="C29" s="12">
        <f>D29</f>
        <v>129563100</v>
      </c>
      <c r="D29" s="12">
        <f>D30+D35</f>
        <v>129563100</v>
      </c>
      <c r="E29" s="12">
        <v>0</v>
      </c>
      <c r="F29" s="232">
        <v>0</v>
      </c>
      <c r="G29" s="115"/>
    </row>
    <row r="30" spans="1:7" ht="35.25" customHeight="1" x14ac:dyDescent="0.2">
      <c r="A30" s="234"/>
      <c r="B30" s="118" t="s">
        <v>316</v>
      </c>
      <c r="C30" s="12">
        <f>D30+E30</f>
        <v>6666700</v>
      </c>
      <c r="D30" s="12">
        <f>D31+D32+D33+D34</f>
        <v>6666700</v>
      </c>
      <c r="E30" s="12"/>
      <c r="F30" s="232"/>
      <c r="G30" s="115"/>
    </row>
    <row r="31" spans="1:7" ht="67.5" customHeight="1" x14ac:dyDescent="0.2">
      <c r="A31" s="205">
        <v>18010100</v>
      </c>
      <c r="B31" s="118" t="s">
        <v>317</v>
      </c>
      <c r="C31" s="12">
        <f t="shared" ref="C31:C34" si="1">D31+E31</f>
        <v>17400</v>
      </c>
      <c r="D31" s="12">
        <v>17400</v>
      </c>
      <c r="E31" s="12"/>
      <c r="F31" s="232"/>
      <c r="G31" s="115"/>
    </row>
    <row r="32" spans="1:7" ht="63" x14ac:dyDescent="0.2">
      <c r="A32" s="205">
        <v>18010200</v>
      </c>
      <c r="B32" s="118" t="s">
        <v>318</v>
      </c>
      <c r="C32" s="12">
        <f t="shared" si="1"/>
        <v>522000</v>
      </c>
      <c r="D32" s="12">
        <v>522000</v>
      </c>
      <c r="E32" s="12"/>
      <c r="F32" s="232"/>
      <c r="G32" s="115"/>
    </row>
    <row r="33" spans="1:7" ht="63" x14ac:dyDescent="0.2">
      <c r="A33" s="205">
        <v>18010300</v>
      </c>
      <c r="B33" s="118" t="s">
        <v>319</v>
      </c>
      <c r="C33" s="12">
        <f t="shared" si="1"/>
        <v>1641500</v>
      </c>
      <c r="D33" s="12">
        <v>1641500</v>
      </c>
      <c r="E33" s="12"/>
      <c r="F33" s="232"/>
      <c r="G33" s="115"/>
    </row>
    <row r="34" spans="1:7" ht="72" customHeight="1" x14ac:dyDescent="0.2">
      <c r="A34" s="205">
        <v>18010400</v>
      </c>
      <c r="B34" s="118" t="s">
        <v>320</v>
      </c>
      <c r="C34" s="12">
        <f t="shared" si="1"/>
        <v>4485800</v>
      </c>
      <c r="D34" s="12">
        <v>4485800</v>
      </c>
      <c r="E34" s="12"/>
      <c r="F34" s="232"/>
      <c r="G34" s="115"/>
    </row>
    <row r="35" spans="1:7" ht="15.75" x14ac:dyDescent="0.2">
      <c r="A35" s="205"/>
      <c r="B35" s="118" t="s">
        <v>321</v>
      </c>
      <c r="C35" s="12">
        <f>D35+E35</f>
        <v>122896400</v>
      </c>
      <c r="D35" s="12">
        <f>D36+D37+D38+D39</f>
        <v>122896400</v>
      </c>
      <c r="E35" s="12"/>
      <c r="F35" s="232"/>
      <c r="G35" s="115"/>
    </row>
    <row r="36" spans="1:7" ht="15.75" x14ac:dyDescent="0.2">
      <c r="A36" s="205">
        <v>18010500</v>
      </c>
      <c r="B36" s="118" t="s">
        <v>322</v>
      </c>
      <c r="C36" s="12">
        <f t="shared" ref="C36:C39" si="2">D36+E36</f>
        <v>82596100</v>
      </c>
      <c r="D36" s="12">
        <v>82596100</v>
      </c>
      <c r="E36" s="12"/>
      <c r="F36" s="232"/>
      <c r="G36" s="115"/>
    </row>
    <row r="37" spans="1:7" ht="15.75" x14ac:dyDescent="0.2">
      <c r="A37" s="205">
        <v>18010600</v>
      </c>
      <c r="B37" s="118" t="s">
        <v>323</v>
      </c>
      <c r="C37" s="12">
        <f t="shared" si="2"/>
        <v>36876000</v>
      </c>
      <c r="D37" s="12">
        <v>36876000</v>
      </c>
      <c r="E37" s="12"/>
      <c r="F37" s="232"/>
      <c r="G37" s="115"/>
    </row>
    <row r="38" spans="1:7" ht="15.75" x14ac:dyDescent="0.2">
      <c r="A38" s="205">
        <v>18010700</v>
      </c>
      <c r="B38" s="118" t="s">
        <v>324</v>
      </c>
      <c r="C38" s="12">
        <f t="shared" si="2"/>
        <v>1289300</v>
      </c>
      <c r="D38" s="12">
        <v>1289300</v>
      </c>
      <c r="E38" s="12"/>
      <c r="F38" s="232"/>
      <c r="G38" s="115"/>
    </row>
    <row r="39" spans="1:7" ht="15.75" x14ac:dyDescent="0.2">
      <c r="A39" s="205">
        <v>18010900</v>
      </c>
      <c r="B39" s="118" t="s">
        <v>325</v>
      </c>
      <c r="C39" s="12">
        <f t="shared" si="2"/>
        <v>2135000</v>
      </c>
      <c r="D39" s="12">
        <v>2135000</v>
      </c>
      <c r="E39" s="12"/>
      <c r="F39" s="232"/>
      <c r="G39" s="115"/>
    </row>
    <row r="40" spans="1:7" ht="15.75" x14ac:dyDescent="0.2">
      <c r="A40" s="234" t="s">
        <v>326</v>
      </c>
      <c r="B40" s="118" t="s">
        <v>327</v>
      </c>
      <c r="C40" s="12">
        <f>D40</f>
        <v>105600</v>
      </c>
      <c r="D40" s="12">
        <v>105600</v>
      </c>
      <c r="E40" s="12">
        <v>0</v>
      </c>
      <c r="F40" s="232">
        <v>0</v>
      </c>
      <c r="G40" s="115"/>
    </row>
    <row r="41" spans="1:7" ht="15.75" x14ac:dyDescent="0.2">
      <c r="A41" s="234" t="s">
        <v>328</v>
      </c>
      <c r="B41" s="118" t="s">
        <v>329</v>
      </c>
      <c r="C41" s="12">
        <f>D41</f>
        <v>31679900</v>
      </c>
      <c r="D41" s="12">
        <f>29602000+2077900</f>
        <v>31679900</v>
      </c>
      <c r="E41" s="12">
        <v>0</v>
      </c>
      <c r="F41" s="232">
        <v>0</v>
      </c>
      <c r="G41" s="115"/>
    </row>
    <row r="42" spans="1:7" ht="15.75" x14ac:dyDescent="0.2">
      <c r="A42" s="233" t="s">
        <v>330</v>
      </c>
      <c r="B42" s="116" t="s">
        <v>331</v>
      </c>
      <c r="C42" s="119">
        <f>E42</f>
        <v>359600</v>
      </c>
      <c r="D42" s="119">
        <v>0</v>
      </c>
      <c r="E42" s="119">
        <f>E43</f>
        <v>359600</v>
      </c>
      <c r="F42" s="232">
        <v>0</v>
      </c>
      <c r="G42" s="115"/>
    </row>
    <row r="43" spans="1:7" ht="15.75" x14ac:dyDescent="0.2">
      <c r="A43" s="234" t="s">
        <v>332</v>
      </c>
      <c r="B43" s="118" t="s">
        <v>333</v>
      </c>
      <c r="C43" s="12">
        <f>E43</f>
        <v>359600</v>
      </c>
      <c r="D43" s="12">
        <v>0</v>
      </c>
      <c r="E43" s="12">
        <v>359600</v>
      </c>
      <c r="F43" s="13">
        <v>0</v>
      </c>
      <c r="G43" s="115"/>
    </row>
    <row r="44" spans="1:7" ht="15.75" x14ac:dyDescent="0.2">
      <c r="A44" s="231" t="s">
        <v>334</v>
      </c>
      <c r="B44" s="112" t="s">
        <v>335</v>
      </c>
      <c r="C44" s="114">
        <f>D44+E44</f>
        <v>14533300</v>
      </c>
      <c r="D44" s="114">
        <f>D45+D49+D55</f>
        <v>4565900</v>
      </c>
      <c r="E44" s="114">
        <f>E55+E59</f>
        <v>9967400</v>
      </c>
      <c r="F44" s="232">
        <f>F55</f>
        <v>5900</v>
      </c>
      <c r="G44" s="115"/>
    </row>
    <row r="45" spans="1:7" ht="31.5" x14ac:dyDescent="0.2">
      <c r="A45" s="233" t="s">
        <v>336</v>
      </c>
      <c r="B45" s="116" t="s">
        <v>337</v>
      </c>
      <c r="C45" s="119">
        <f t="shared" ref="C45:C54" si="3">D45</f>
        <v>983600</v>
      </c>
      <c r="D45" s="119">
        <f>D46+D47+D48</f>
        <v>983600</v>
      </c>
      <c r="E45" s="114">
        <v>0</v>
      </c>
      <c r="F45" s="232">
        <v>0</v>
      </c>
      <c r="G45" s="115"/>
    </row>
    <row r="46" spans="1:7" ht="63" x14ac:dyDescent="0.2">
      <c r="A46" s="234" t="s">
        <v>338</v>
      </c>
      <c r="B46" s="118" t="s">
        <v>339</v>
      </c>
      <c r="C46" s="12">
        <f t="shared" si="3"/>
        <v>24000</v>
      </c>
      <c r="D46" s="12">
        <v>24000</v>
      </c>
      <c r="E46" s="12">
        <v>0</v>
      </c>
      <c r="F46" s="13">
        <v>0</v>
      </c>
      <c r="G46" s="115"/>
    </row>
    <row r="47" spans="1:7" ht="15.75" x14ac:dyDescent="0.2">
      <c r="A47" s="234" t="s">
        <v>340</v>
      </c>
      <c r="B47" s="118" t="s">
        <v>341</v>
      </c>
      <c r="C47" s="12">
        <f t="shared" si="3"/>
        <v>75300</v>
      </c>
      <c r="D47" s="12">
        <v>75300</v>
      </c>
      <c r="E47" s="12">
        <v>0</v>
      </c>
      <c r="F47" s="13">
        <v>0</v>
      </c>
      <c r="G47" s="115"/>
    </row>
    <row r="48" spans="1:7" ht="15.75" x14ac:dyDescent="0.2">
      <c r="A48" s="234" t="s">
        <v>342</v>
      </c>
      <c r="B48" s="118" t="s">
        <v>343</v>
      </c>
      <c r="C48" s="12">
        <f t="shared" si="3"/>
        <v>884300</v>
      </c>
      <c r="D48" s="12">
        <v>884300</v>
      </c>
      <c r="E48" s="12">
        <v>0</v>
      </c>
      <c r="F48" s="13">
        <v>0</v>
      </c>
      <c r="G48" s="115"/>
    </row>
    <row r="49" spans="1:7" ht="46.15" customHeight="1" x14ac:dyDescent="0.2">
      <c r="A49" s="233" t="s">
        <v>344</v>
      </c>
      <c r="B49" s="116" t="s">
        <v>345</v>
      </c>
      <c r="C49" s="119">
        <f t="shared" si="3"/>
        <v>2907700</v>
      </c>
      <c r="D49" s="119">
        <f>D50+D51+D52+D53+D54</f>
        <v>2907700</v>
      </c>
      <c r="E49" s="114">
        <v>0</v>
      </c>
      <c r="F49" s="232">
        <v>0</v>
      </c>
      <c r="G49" s="115"/>
    </row>
    <row r="50" spans="1:7" ht="63" x14ac:dyDescent="0.2">
      <c r="A50" s="234" t="s">
        <v>346</v>
      </c>
      <c r="B50" s="118" t="s">
        <v>347</v>
      </c>
      <c r="C50" s="12">
        <f t="shared" si="3"/>
        <v>104500</v>
      </c>
      <c r="D50" s="12">
        <v>104500</v>
      </c>
      <c r="E50" s="12">
        <v>0</v>
      </c>
      <c r="F50" s="13">
        <v>0</v>
      </c>
      <c r="G50" s="115"/>
    </row>
    <row r="51" spans="1:7" ht="31.5" x14ac:dyDescent="0.2">
      <c r="A51" s="234" t="s">
        <v>348</v>
      </c>
      <c r="B51" s="118" t="s">
        <v>349</v>
      </c>
      <c r="C51" s="12">
        <f t="shared" si="3"/>
        <v>1515700</v>
      </c>
      <c r="D51" s="12">
        <v>1515700</v>
      </c>
      <c r="E51" s="12">
        <v>0</v>
      </c>
      <c r="F51" s="13">
        <v>0</v>
      </c>
      <c r="G51" s="115"/>
    </row>
    <row r="52" spans="1:7" ht="47.25" x14ac:dyDescent="0.2">
      <c r="A52" s="234" t="s">
        <v>350</v>
      </c>
      <c r="B52" s="118" t="s">
        <v>351</v>
      </c>
      <c r="C52" s="12">
        <f t="shared" si="3"/>
        <v>485100</v>
      </c>
      <c r="D52" s="12">
        <v>485100</v>
      </c>
      <c r="E52" s="12">
        <v>0</v>
      </c>
      <c r="F52" s="13">
        <v>0</v>
      </c>
      <c r="G52" s="115"/>
    </row>
    <row r="53" spans="1:7" ht="63" x14ac:dyDescent="0.2">
      <c r="A53" s="234" t="s">
        <v>352</v>
      </c>
      <c r="B53" s="118" t="s">
        <v>353</v>
      </c>
      <c r="C53" s="12">
        <f t="shared" si="3"/>
        <v>653000</v>
      </c>
      <c r="D53" s="12">
        <v>653000</v>
      </c>
      <c r="E53" s="12">
        <v>0</v>
      </c>
      <c r="F53" s="13">
        <v>0</v>
      </c>
      <c r="G53" s="115"/>
    </row>
    <row r="54" spans="1:7" ht="15.75" x14ac:dyDescent="0.2">
      <c r="A54" s="234" t="s">
        <v>354</v>
      </c>
      <c r="B54" s="118" t="s">
        <v>355</v>
      </c>
      <c r="C54" s="12">
        <f t="shared" si="3"/>
        <v>149400</v>
      </c>
      <c r="D54" s="12">
        <v>149400</v>
      </c>
      <c r="E54" s="114">
        <v>0</v>
      </c>
      <c r="F54" s="232">
        <v>0</v>
      </c>
      <c r="G54" s="115"/>
    </row>
    <row r="55" spans="1:7" ht="15.75" x14ac:dyDescent="0.2">
      <c r="A55" s="233" t="s">
        <v>356</v>
      </c>
      <c r="B55" s="116" t="s">
        <v>357</v>
      </c>
      <c r="C55" s="119">
        <f>D55+E55</f>
        <v>680500</v>
      </c>
      <c r="D55" s="119">
        <f>D56+D57</f>
        <v>674600</v>
      </c>
      <c r="E55" s="119">
        <f>E58</f>
        <v>5900</v>
      </c>
      <c r="F55" s="235">
        <f>F58</f>
        <v>5900</v>
      </c>
      <c r="G55" s="115"/>
    </row>
    <row r="56" spans="1:7" ht="15.75" x14ac:dyDescent="0.2">
      <c r="A56" s="234" t="s">
        <v>358</v>
      </c>
      <c r="B56" s="118" t="s">
        <v>359</v>
      </c>
      <c r="C56" s="12">
        <f>D56</f>
        <v>150000</v>
      </c>
      <c r="D56" s="12">
        <v>150000</v>
      </c>
      <c r="E56" s="12">
        <v>0</v>
      </c>
      <c r="F56" s="13">
        <v>0</v>
      </c>
      <c r="G56" s="115"/>
    </row>
    <row r="57" spans="1:7" ht="94.5" x14ac:dyDescent="0.2">
      <c r="A57" s="234" t="s">
        <v>360</v>
      </c>
      <c r="B57" s="118" t="s">
        <v>361</v>
      </c>
      <c r="C57" s="12">
        <f>D57</f>
        <v>524600</v>
      </c>
      <c r="D57" s="12">
        <v>524600</v>
      </c>
      <c r="E57" s="12">
        <v>0</v>
      </c>
      <c r="F57" s="13">
        <v>0</v>
      </c>
      <c r="G57" s="115"/>
    </row>
    <row r="58" spans="1:7" ht="31.5" x14ac:dyDescent="0.2">
      <c r="A58" s="234" t="s">
        <v>362</v>
      </c>
      <c r="B58" s="118" t="s">
        <v>363</v>
      </c>
      <c r="C58" s="12">
        <f>E58</f>
        <v>5900</v>
      </c>
      <c r="D58" s="12">
        <v>0</v>
      </c>
      <c r="E58" s="12">
        <f>1187400-1181500</f>
        <v>5900</v>
      </c>
      <c r="F58" s="13">
        <f>E58</f>
        <v>5900</v>
      </c>
      <c r="G58" s="115"/>
    </row>
    <row r="59" spans="1:7" ht="28.9" customHeight="1" x14ac:dyDescent="0.2">
      <c r="A59" s="233" t="s">
        <v>364</v>
      </c>
      <c r="B59" s="116" t="s">
        <v>365</v>
      </c>
      <c r="C59" s="119">
        <f>E59</f>
        <v>9961500</v>
      </c>
      <c r="D59" s="119">
        <v>0</v>
      </c>
      <c r="E59" s="119">
        <f>E60</f>
        <v>9961500</v>
      </c>
      <c r="F59" s="235">
        <v>0</v>
      </c>
      <c r="G59" s="115"/>
    </row>
    <row r="60" spans="1:7" ht="47.25" x14ac:dyDescent="0.2">
      <c r="A60" s="234" t="s">
        <v>366</v>
      </c>
      <c r="B60" s="118" t="s">
        <v>367</v>
      </c>
      <c r="C60" s="12">
        <f>E60</f>
        <v>9961500</v>
      </c>
      <c r="D60" s="12">
        <v>0</v>
      </c>
      <c r="E60" s="12">
        <v>9961500</v>
      </c>
      <c r="F60" s="232">
        <v>0</v>
      </c>
      <c r="G60" s="115"/>
    </row>
    <row r="61" spans="1:7" ht="15.75" x14ac:dyDescent="0.2">
      <c r="A61" s="233" t="s">
        <v>368</v>
      </c>
      <c r="B61" s="116" t="s">
        <v>369</v>
      </c>
      <c r="C61" s="119">
        <f>C62</f>
        <v>5284526</v>
      </c>
      <c r="D61" s="119">
        <v>0</v>
      </c>
      <c r="E61" s="119">
        <f>E62</f>
        <v>5284526</v>
      </c>
      <c r="F61" s="235">
        <f>F62</f>
        <v>5284526</v>
      </c>
      <c r="G61" s="115"/>
    </row>
    <row r="62" spans="1:7" ht="94.5" x14ac:dyDescent="0.2">
      <c r="A62" s="234" t="s">
        <v>370</v>
      </c>
      <c r="B62" s="118" t="s">
        <v>371</v>
      </c>
      <c r="C62" s="12">
        <f>E62</f>
        <v>5284526</v>
      </c>
      <c r="D62" s="12">
        <v>0</v>
      </c>
      <c r="E62" s="8">
        <f>3787000+1497526</f>
        <v>5284526</v>
      </c>
      <c r="F62" s="13">
        <f>E62</f>
        <v>5284526</v>
      </c>
      <c r="G62" s="115"/>
    </row>
    <row r="63" spans="1:7" ht="31.5" x14ac:dyDescent="0.2">
      <c r="A63" s="231"/>
      <c r="B63" s="112" t="s">
        <v>372</v>
      </c>
      <c r="C63" s="114">
        <f>D63+E63</f>
        <v>484593562</v>
      </c>
      <c r="D63" s="114">
        <f>D20+D44</f>
        <v>468982036</v>
      </c>
      <c r="E63" s="114">
        <f>E61+E44+E20</f>
        <v>15611526</v>
      </c>
      <c r="F63" s="232">
        <f>F61+F44+F20</f>
        <v>5290426</v>
      </c>
      <c r="G63" s="115"/>
    </row>
    <row r="64" spans="1:7" ht="21" customHeight="1" x14ac:dyDescent="0.2">
      <c r="A64" s="236" t="s">
        <v>373</v>
      </c>
      <c r="B64" s="112" t="s">
        <v>374</v>
      </c>
      <c r="C64" s="114">
        <f>D64+E64</f>
        <v>159601147</v>
      </c>
      <c r="D64" s="114">
        <f>D65</f>
        <v>147980367</v>
      </c>
      <c r="E64" s="114">
        <f t="shared" ref="E64:F64" si="4">E65</f>
        <v>11620780</v>
      </c>
      <c r="F64" s="232">
        <f t="shared" si="4"/>
        <v>10000000</v>
      </c>
      <c r="G64" s="115"/>
    </row>
    <row r="65" spans="1:7" ht="19.5" customHeight="1" x14ac:dyDescent="0.2">
      <c r="A65" s="237" t="s">
        <v>375</v>
      </c>
      <c r="B65" s="116" t="s">
        <v>376</v>
      </c>
      <c r="C65" s="119">
        <f>D65+E65</f>
        <v>159601147</v>
      </c>
      <c r="D65" s="119">
        <f>D66+D68+D73+D71</f>
        <v>147980367</v>
      </c>
      <c r="E65" s="119">
        <f t="shared" ref="E65:F65" si="5">E66+E68+E73</f>
        <v>11620780</v>
      </c>
      <c r="F65" s="235">
        <f t="shared" si="5"/>
        <v>10000000</v>
      </c>
      <c r="G65" s="115"/>
    </row>
    <row r="66" spans="1:7" ht="29.25" customHeight="1" x14ac:dyDescent="0.2">
      <c r="A66" s="236">
        <v>41020000</v>
      </c>
      <c r="B66" s="112" t="s">
        <v>377</v>
      </c>
      <c r="C66" s="114">
        <f t="shared" ref="C66:C87" si="6">D66</f>
        <v>64371200</v>
      </c>
      <c r="D66" s="114">
        <f>D67</f>
        <v>64371200</v>
      </c>
      <c r="E66" s="114"/>
      <c r="F66" s="232"/>
      <c r="G66" s="115"/>
    </row>
    <row r="67" spans="1:7" ht="146.25" customHeight="1" x14ac:dyDescent="0.2">
      <c r="A67" s="205">
        <v>41021400</v>
      </c>
      <c r="B67" s="118" t="s">
        <v>378</v>
      </c>
      <c r="C67" s="12">
        <f t="shared" si="6"/>
        <v>64371200</v>
      </c>
      <c r="D67" s="12">
        <f>53910900+10460300</f>
        <v>64371200</v>
      </c>
      <c r="E67" s="12"/>
      <c r="F67" s="13"/>
      <c r="G67" s="115"/>
    </row>
    <row r="68" spans="1:7" ht="36" customHeight="1" x14ac:dyDescent="0.2">
      <c r="A68" s="236" t="s">
        <v>379</v>
      </c>
      <c r="B68" s="112" t="s">
        <v>380</v>
      </c>
      <c r="C68" s="114">
        <f>D68</f>
        <v>77788600</v>
      </c>
      <c r="D68" s="114">
        <f>D70+D69</f>
        <v>77788600</v>
      </c>
      <c r="E68" s="114">
        <v>0</v>
      </c>
      <c r="F68" s="232">
        <v>0</v>
      </c>
      <c r="G68" s="115"/>
    </row>
    <row r="69" spans="1:7" ht="68.45" customHeight="1" x14ac:dyDescent="0.2">
      <c r="A69" s="205">
        <v>41033300</v>
      </c>
      <c r="B69" s="118" t="s">
        <v>658</v>
      </c>
      <c r="C69" s="204">
        <f>D69+E69</f>
        <v>2278000</v>
      </c>
      <c r="D69" s="8">
        <v>2278000</v>
      </c>
      <c r="E69" s="114"/>
      <c r="F69" s="232"/>
      <c r="G69" s="115"/>
    </row>
    <row r="70" spans="1:7" ht="31.5" x14ac:dyDescent="0.2">
      <c r="A70" s="205" t="s">
        <v>381</v>
      </c>
      <c r="B70" s="118" t="s">
        <v>382</v>
      </c>
      <c r="C70" s="12">
        <f>D70</f>
        <v>75510600</v>
      </c>
      <c r="D70" s="8">
        <v>75510600</v>
      </c>
      <c r="E70" s="12">
        <v>0</v>
      </c>
      <c r="F70" s="13">
        <v>0</v>
      </c>
      <c r="G70" s="115"/>
    </row>
    <row r="71" spans="1:7" ht="31.5" x14ac:dyDescent="0.2">
      <c r="A71" s="236">
        <v>41040000</v>
      </c>
      <c r="B71" s="112" t="s">
        <v>478</v>
      </c>
      <c r="C71" s="114">
        <f>C72</f>
        <v>133911</v>
      </c>
      <c r="D71" s="113">
        <f>D72</f>
        <v>133911</v>
      </c>
      <c r="E71" s="12"/>
      <c r="F71" s="13"/>
      <c r="G71" s="115"/>
    </row>
    <row r="72" spans="1:7" ht="15.75" x14ac:dyDescent="0.2">
      <c r="A72" s="205">
        <v>41040400</v>
      </c>
      <c r="B72" s="118" t="s">
        <v>479</v>
      </c>
      <c r="C72" s="12">
        <f>D72+E72</f>
        <v>133911</v>
      </c>
      <c r="D72" s="8">
        <f>38667+26774+23331+24056+21083</f>
        <v>133911</v>
      </c>
      <c r="E72" s="12"/>
      <c r="F72" s="13"/>
      <c r="G72" s="115"/>
    </row>
    <row r="73" spans="1:7" ht="31.5" x14ac:dyDescent="0.2">
      <c r="A73" s="236">
        <v>41050000</v>
      </c>
      <c r="B73" s="112" t="s">
        <v>435</v>
      </c>
      <c r="C73" s="114">
        <f>C74+C75+C76+C77+C78+C83+C84+C85+C80+C81+C79+C82</f>
        <v>17307436</v>
      </c>
      <c r="D73" s="114">
        <f>D74+D75+D76+D77+D78+D83+D84+D85+D80+D81+D79+D82</f>
        <v>5686656</v>
      </c>
      <c r="E73" s="114">
        <f>E74+E75+E76+E77+E78+E83+E84+E85+E80+E81+E79+E82</f>
        <v>11620780</v>
      </c>
      <c r="F73" s="114">
        <f>F74+F75+F76+F77+F78+F83+F84+F85+F80+F81+F79+F82</f>
        <v>10000000</v>
      </c>
      <c r="G73" s="115"/>
    </row>
    <row r="74" spans="1:7" ht="333.6" customHeight="1" x14ac:dyDescent="0.2">
      <c r="A74" s="454">
        <v>41050600</v>
      </c>
      <c r="B74" s="118" t="s">
        <v>591</v>
      </c>
      <c r="C74" s="12">
        <f>D74</f>
        <v>2164782</v>
      </c>
      <c r="D74" s="8">
        <v>2164782</v>
      </c>
      <c r="E74" s="114"/>
      <c r="F74" s="238"/>
      <c r="G74" s="115"/>
    </row>
    <row r="75" spans="1:7" ht="47.25" x14ac:dyDescent="0.2">
      <c r="A75" s="205" t="s">
        <v>383</v>
      </c>
      <c r="B75" s="118" t="s">
        <v>384</v>
      </c>
      <c r="C75" s="12">
        <f>D75</f>
        <v>1766200</v>
      </c>
      <c r="D75" s="8">
        <v>1766200</v>
      </c>
      <c r="E75" s="12"/>
      <c r="F75" s="13"/>
      <c r="G75" s="115"/>
    </row>
    <row r="76" spans="1:7" ht="47.25" x14ac:dyDescent="0.2">
      <c r="A76" s="205">
        <v>41051100</v>
      </c>
      <c r="B76" s="118" t="s">
        <v>434</v>
      </c>
      <c r="C76" s="204">
        <f>D76+E76</f>
        <v>1620780</v>
      </c>
      <c r="D76" s="8"/>
      <c r="E76" s="12">
        <f>696780+924000</f>
        <v>1620780</v>
      </c>
      <c r="F76" s="13"/>
      <c r="G76" s="115"/>
    </row>
    <row r="77" spans="1:7" ht="126" x14ac:dyDescent="0.2">
      <c r="A77" s="453">
        <v>41051200</v>
      </c>
      <c r="B77" s="31" t="s">
        <v>512</v>
      </c>
      <c r="C77" s="204">
        <f t="shared" ref="C77:C79" si="7">D77+E77</f>
        <v>187785</v>
      </c>
      <c r="D77" s="49">
        <v>187785</v>
      </c>
      <c r="E77" s="12"/>
      <c r="F77" s="13"/>
      <c r="G77" s="115"/>
    </row>
    <row r="78" spans="1:7" ht="126" x14ac:dyDescent="0.2">
      <c r="A78" s="453">
        <v>41051200</v>
      </c>
      <c r="B78" s="31" t="s">
        <v>513</v>
      </c>
      <c r="C78" s="204">
        <f t="shared" si="7"/>
        <v>104325</v>
      </c>
      <c r="D78" s="49">
        <v>104325</v>
      </c>
      <c r="E78" s="12"/>
      <c r="F78" s="13"/>
      <c r="G78" s="115"/>
    </row>
    <row r="79" spans="1:7" ht="91.5" customHeight="1" x14ac:dyDescent="0.2">
      <c r="A79" s="453">
        <v>41051400</v>
      </c>
      <c r="B79" s="31" t="s">
        <v>645</v>
      </c>
      <c r="C79" s="204">
        <f t="shared" si="7"/>
        <v>1049568</v>
      </c>
      <c r="D79" s="49">
        <v>1049568</v>
      </c>
      <c r="E79" s="12"/>
      <c r="F79" s="13"/>
      <c r="G79" s="115"/>
    </row>
    <row r="80" spans="1:7" ht="77.45" customHeight="1" x14ac:dyDescent="0.2">
      <c r="A80" s="205">
        <v>41051700</v>
      </c>
      <c r="B80" s="118" t="s">
        <v>476</v>
      </c>
      <c r="C80" s="204">
        <f>D80+E80</f>
        <v>110550</v>
      </c>
      <c r="D80" s="12">
        <v>110550</v>
      </c>
      <c r="E80" s="12"/>
      <c r="F80" s="13"/>
      <c r="G80" s="115"/>
    </row>
    <row r="81" spans="1:7" ht="77.45" customHeight="1" x14ac:dyDescent="0.2">
      <c r="A81" s="205">
        <v>41057700</v>
      </c>
      <c r="B81" s="118" t="s">
        <v>477</v>
      </c>
      <c r="C81" s="204">
        <f>D81+E81</f>
        <v>166311</v>
      </c>
      <c r="D81" s="12">
        <v>166311</v>
      </c>
      <c r="E81" s="12"/>
      <c r="F81" s="13"/>
      <c r="G81" s="115"/>
    </row>
    <row r="82" spans="1:7" ht="47.45" customHeight="1" x14ac:dyDescent="0.2">
      <c r="A82" s="205">
        <v>41053400</v>
      </c>
      <c r="B82" s="118" t="s">
        <v>646</v>
      </c>
      <c r="C82" s="204">
        <f>D82+E82</f>
        <v>10000000</v>
      </c>
      <c r="D82" s="12"/>
      <c r="E82" s="12">
        <v>10000000</v>
      </c>
      <c r="F82" s="13">
        <v>10000000</v>
      </c>
      <c r="G82" s="115"/>
    </row>
    <row r="83" spans="1:7" ht="63" x14ac:dyDescent="0.2">
      <c r="A83" s="206">
        <v>41053900</v>
      </c>
      <c r="B83" s="31" t="s">
        <v>385</v>
      </c>
      <c r="C83" s="12">
        <f t="shared" si="6"/>
        <v>28193</v>
      </c>
      <c r="D83" s="12">
        <v>28193</v>
      </c>
      <c r="E83" s="12"/>
      <c r="F83" s="13"/>
      <c r="G83" s="115"/>
    </row>
    <row r="84" spans="1:7" ht="47.25" x14ac:dyDescent="0.2">
      <c r="A84" s="207">
        <v>41053900</v>
      </c>
      <c r="B84" s="31" t="s">
        <v>386</v>
      </c>
      <c r="C84" s="12">
        <f t="shared" si="6"/>
        <v>91319</v>
      </c>
      <c r="D84" s="12">
        <v>91319</v>
      </c>
      <c r="E84" s="12"/>
      <c r="F84" s="13"/>
      <c r="G84" s="115"/>
    </row>
    <row r="85" spans="1:7" ht="78.75" x14ac:dyDescent="0.2">
      <c r="A85" s="207">
        <v>41053900</v>
      </c>
      <c r="B85" s="31" t="s">
        <v>387</v>
      </c>
      <c r="C85" s="12">
        <f t="shared" si="6"/>
        <v>17623</v>
      </c>
      <c r="D85" s="12">
        <v>17623</v>
      </c>
      <c r="E85" s="12"/>
      <c r="F85" s="13"/>
      <c r="G85" s="115"/>
    </row>
    <row r="86" spans="1:7" ht="0.75" customHeight="1" x14ac:dyDescent="0.2">
      <c r="A86" s="239"/>
      <c r="B86" s="31"/>
      <c r="C86" s="12"/>
      <c r="D86" s="12"/>
      <c r="E86" s="12"/>
      <c r="F86" s="13"/>
      <c r="G86" s="115"/>
    </row>
    <row r="87" spans="1:7" ht="15.75" x14ac:dyDescent="0.2">
      <c r="A87" s="234"/>
      <c r="B87" s="118"/>
      <c r="C87" s="12">
        <f t="shared" si="6"/>
        <v>0</v>
      </c>
      <c r="D87" s="12"/>
      <c r="E87" s="12"/>
      <c r="F87" s="13"/>
      <c r="G87" s="115"/>
    </row>
    <row r="88" spans="1:7" ht="16.5" thickBot="1" x14ac:dyDescent="0.25">
      <c r="A88" s="240" t="s">
        <v>6</v>
      </c>
      <c r="B88" s="241" t="s">
        <v>388</v>
      </c>
      <c r="C88" s="242">
        <f>D88+E88</f>
        <v>644194709</v>
      </c>
      <c r="D88" s="242">
        <f>D63+D64</f>
        <v>616962403</v>
      </c>
      <c r="E88" s="242">
        <f>E63+E64</f>
        <v>27232306</v>
      </c>
      <c r="F88" s="243">
        <f>F63+F64</f>
        <v>15290426</v>
      </c>
      <c r="G88" s="115"/>
    </row>
    <row r="89" spans="1:7" ht="15.75" x14ac:dyDescent="0.25">
      <c r="A89" s="1"/>
      <c r="B89" s="1"/>
      <c r="C89" s="1"/>
      <c r="D89" s="1"/>
      <c r="E89" s="1"/>
      <c r="F89" s="1"/>
    </row>
    <row r="90" spans="1:7" x14ac:dyDescent="0.2">
      <c r="A90" s="755"/>
      <c r="B90" s="755"/>
      <c r="C90" s="755"/>
      <c r="D90" s="755"/>
      <c r="E90" s="755"/>
      <c r="F90" s="755"/>
    </row>
    <row r="92" spans="1:7" ht="18.75" x14ac:dyDescent="0.2">
      <c r="A92" s="29" t="s">
        <v>389</v>
      </c>
      <c r="B92" s="29"/>
      <c r="C92" s="120"/>
      <c r="D92" s="110"/>
      <c r="E92" s="756" t="s">
        <v>459</v>
      </c>
      <c r="F92" s="756"/>
    </row>
  </sheetData>
  <mergeCells count="26">
    <mergeCell ref="A90:F90"/>
    <mergeCell ref="E92:F92"/>
    <mergeCell ref="A14:B14"/>
    <mergeCell ref="G14:I14"/>
    <mergeCell ref="G15:I15"/>
    <mergeCell ref="A16:A18"/>
    <mergeCell ref="B16:B18"/>
    <mergeCell ref="C16:C18"/>
    <mergeCell ref="D16:D18"/>
    <mergeCell ref="E16:F16"/>
    <mergeCell ref="E17:E18"/>
    <mergeCell ref="F17:F18"/>
    <mergeCell ref="D11:F11"/>
    <mergeCell ref="G11:I11"/>
    <mergeCell ref="D12:F12"/>
    <mergeCell ref="G12:I12"/>
    <mergeCell ref="A13:F13"/>
    <mergeCell ref="G13:I13"/>
    <mergeCell ref="D5:E5"/>
    <mergeCell ref="D10:F10"/>
    <mergeCell ref="G10:I10"/>
    <mergeCell ref="D6:F6"/>
    <mergeCell ref="G6:I6"/>
    <mergeCell ref="D7:F7"/>
    <mergeCell ref="D8:F8"/>
    <mergeCell ref="D9:F9"/>
  </mergeCells>
  <pageMargins left="1.1811023622047245" right="0.39370078740157483" top="0.78740157480314965" bottom="0.78740157480314965" header="0.31496062992125984" footer="0.31496062992125984"/>
  <pageSetup paperSize="9" scale="72" orientation="portrait" r:id="rId1"/>
  <rowBreaks count="1" manualBreakCount="1">
    <brk id="62"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view="pageBreakPreview" zoomScaleNormal="100" zoomScaleSheetLayoutView="100" workbookViewId="0">
      <selection activeCell="K16" sqref="K16"/>
    </sheetView>
  </sheetViews>
  <sheetFormatPr defaultRowHeight="12.75" x14ac:dyDescent="0.2"/>
  <cols>
    <col min="1" max="1" width="11.28515625" customWidth="1"/>
    <col min="2" max="2" width="41" customWidth="1"/>
    <col min="3" max="4" width="13.85546875" customWidth="1"/>
    <col min="5" max="5" width="13.5703125" customWidth="1"/>
    <col min="6" max="6" width="16.28515625" customWidth="1"/>
  </cols>
  <sheetData>
    <row r="1" spans="1:6" ht="15.75" x14ac:dyDescent="0.2">
      <c r="D1" s="99" t="s">
        <v>167</v>
      </c>
      <c r="E1" s="4"/>
    </row>
    <row r="2" spans="1:6" ht="15.75" x14ac:dyDescent="0.2">
      <c r="D2" s="99" t="s">
        <v>281</v>
      </c>
      <c r="E2" s="4"/>
    </row>
    <row r="3" spans="1:6" ht="15.75" x14ac:dyDescent="0.25">
      <c r="D3" s="100" t="s">
        <v>661</v>
      </c>
      <c r="E3" s="7"/>
    </row>
    <row r="4" spans="1:6" ht="15.75" x14ac:dyDescent="0.25">
      <c r="D4" s="101" t="s">
        <v>662</v>
      </c>
      <c r="E4" s="102"/>
    </row>
    <row r="5" spans="1:6" ht="15.75" x14ac:dyDescent="0.2">
      <c r="D5" s="747" t="s">
        <v>469</v>
      </c>
      <c r="E5" s="747"/>
    </row>
    <row r="7" spans="1:6" ht="15.75" x14ac:dyDescent="0.2">
      <c r="D7" s="3" t="s">
        <v>461</v>
      </c>
      <c r="E7" s="4"/>
      <c r="F7" s="5"/>
    </row>
    <row r="8" spans="1:6" ht="15.75" x14ac:dyDescent="0.2">
      <c r="D8" s="3" t="s">
        <v>281</v>
      </c>
      <c r="E8" s="4"/>
      <c r="F8" s="5"/>
    </row>
    <row r="9" spans="1:6" ht="15.75" x14ac:dyDescent="0.2">
      <c r="D9" s="3" t="s">
        <v>8</v>
      </c>
      <c r="E9" s="4"/>
      <c r="F9" s="5"/>
    </row>
    <row r="10" spans="1:6" ht="15.75" x14ac:dyDescent="0.2">
      <c r="D10" s="3" t="s">
        <v>282</v>
      </c>
      <c r="E10" s="4"/>
      <c r="F10" s="5"/>
    </row>
    <row r="11" spans="1:6" ht="15.75" x14ac:dyDescent="0.25">
      <c r="D11" s="6" t="s">
        <v>457</v>
      </c>
      <c r="E11" s="7"/>
      <c r="F11" s="5"/>
    </row>
    <row r="12" spans="1:6" ht="15.75" x14ac:dyDescent="0.25">
      <c r="D12" s="6" t="s">
        <v>390</v>
      </c>
      <c r="E12" s="4"/>
      <c r="F12" s="5"/>
    </row>
    <row r="13" spans="1:6" ht="15.75" x14ac:dyDescent="0.2">
      <c r="D13" s="751" t="s">
        <v>458</v>
      </c>
      <c r="E13" s="751"/>
      <c r="F13" s="5"/>
    </row>
    <row r="15" spans="1:6" ht="20.25" x14ac:dyDescent="0.3">
      <c r="A15" s="764" t="s">
        <v>391</v>
      </c>
      <c r="B15" s="765"/>
      <c r="C15" s="765"/>
      <c r="D15" s="765"/>
      <c r="E15" s="765"/>
      <c r="F15" s="765"/>
    </row>
    <row r="16" spans="1:6" ht="20.25" x14ac:dyDescent="0.3">
      <c r="A16" s="108"/>
      <c r="B16" s="109"/>
      <c r="C16" s="109"/>
      <c r="D16" s="109"/>
      <c r="E16" s="109"/>
      <c r="F16" s="109"/>
    </row>
    <row r="17" spans="1:6" ht="15.75" x14ac:dyDescent="0.25">
      <c r="A17" s="121" t="s">
        <v>166</v>
      </c>
      <c r="B17" s="1"/>
      <c r="C17" s="1"/>
      <c r="D17" s="1"/>
      <c r="E17" s="1"/>
      <c r="F17" s="1"/>
    </row>
    <row r="18" spans="1:6" ht="16.5" thickBot="1" x14ac:dyDescent="0.3">
      <c r="A18" s="122" t="s">
        <v>0</v>
      </c>
      <c r="B18" s="1"/>
      <c r="C18" s="1"/>
      <c r="D18" s="1"/>
      <c r="E18" s="1"/>
      <c r="F18" s="2" t="s">
        <v>283</v>
      </c>
    </row>
    <row r="19" spans="1:6" ht="15.75" x14ac:dyDescent="0.2">
      <c r="A19" s="766" t="s">
        <v>294</v>
      </c>
      <c r="B19" s="769" t="s">
        <v>392</v>
      </c>
      <c r="C19" s="769" t="s">
        <v>1</v>
      </c>
      <c r="D19" s="769" t="s">
        <v>2</v>
      </c>
      <c r="E19" s="769" t="s">
        <v>3</v>
      </c>
      <c r="F19" s="772"/>
    </row>
    <row r="20" spans="1:6" x14ac:dyDescent="0.2">
      <c r="A20" s="767"/>
      <c r="B20" s="770"/>
      <c r="C20" s="770"/>
      <c r="D20" s="770"/>
      <c r="E20" s="770" t="s">
        <v>4</v>
      </c>
      <c r="F20" s="773" t="s">
        <v>5</v>
      </c>
    </row>
    <row r="21" spans="1:6" ht="44.45" customHeight="1" thickBot="1" x14ac:dyDescent="0.25">
      <c r="A21" s="768"/>
      <c r="B21" s="771"/>
      <c r="C21" s="771"/>
      <c r="D21" s="771"/>
      <c r="E21" s="771"/>
      <c r="F21" s="774"/>
    </row>
    <row r="22" spans="1:6" ht="15.75" x14ac:dyDescent="0.2">
      <c r="A22" s="23">
        <v>1</v>
      </c>
      <c r="B22" s="24">
        <v>2</v>
      </c>
      <c r="C22" s="24">
        <v>3</v>
      </c>
      <c r="D22" s="24">
        <v>4</v>
      </c>
      <c r="E22" s="24">
        <v>5</v>
      </c>
      <c r="F22" s="123">
        <v>6</v>
      </c>
    </row>
    <row r="23" spans="1:6" ht="21.6" customHeight="1" x14ac:dyDescent="0.25">
      <c r="A23" s="775" t="s">
        <v>393</v>
      </c>
      <c r="B23" s="776"/>
      <c r="C23" s="776"/>
      <c r="D23" s="776"/>
      <c r="E23" s="776"/>
      <c r="F23" s="777"/>
    </row>
    <row r="24" spans="1:6" ht="22.9" customHeight="1" x14ac:dyDescent="0.2">
      <c r="A24" s="124" t="s">
        <v>394</v>
      </c>
      <c r="B24" s="125" t="s">
        <v>395</v>
      </c>
      <c r="C24" s="113">
        <f>C25</f>
        <v>117111302</v>
      </c>
      <c r="D24" s="113">
        <f>D25</f>
        <v>-23623051</v>
      </c>
      <c r="E24" s="113">
        <f>E25</f>
        <v>140734353</v>
      </c>
      <c r="F24" s="126">
        <f>F25</f>
        <v>140734353</v>
      </c>
    </row>
    <row r="25" spans="1:6" ht="31.5" x14ac:dyDescent="0.2">
      <c r="A25" s="127" t="s">
        <v>396</v>
      </c>
      <c r="B25" s="128" t="s">
        <v>397</v>
      </c>
      <c r="C25" s="8">
        <f>C26-C27+C28</f>
        <v>117111302</v>
      </c>
      <c r="D25" s="8">
        <f>D26-D27+D28</f>
        <v>-23623051</v>
      </c>
      <c r="E25" s="8">
        <f>E28</f>
        <v>140734353</v>
      </c>
      <c r="F25" s="129">
        <f>F28</f>
        <v>140734353</v>
      </c>
    </row>
    <row r="26" spans="1:6" ht="15.75" x14ac:dyDescent="0.2">
      <c r="A26" s="127" t="s">
        <v>398</v>
      </c>
      <c r="B26" s="128" t="s">
        <v>399</v>
      </c>
      <c r="C26" s="8">
        <f>D26</f>
        <v>122111302</v>
      </c>
      <c r="D26" s="8">
        <f>1000000+25340511+40131417+20498000+18379851+16761523</f>
        <v>122111302</v>
      </c>
      <c r="E26" s="8">
        <v>0</v>
      </c>
      <c r="F26" s="130">
        <v>0</v>
      </c>
    </row>
    <row r="27" spans="1:6" ht="15.75" x14ac:dyDescent="0.2">
      <c r="A27" s="127" t="s">
        <v>400</v>
      </c>
      <c r="B27" s="128" t="s">
        <v>401</v>
      </c>
      <c r="C27" s="8">
        <f>D27</f>
        <v>5000000</v>
      </c>
      <c r="D27" s="8">
        <f>1000000+4000000</f>
        <v>5000000</v>
      </c>
      <c r="E27" s="8">
        <v>0</v>
      </c>
      <c r="F27" s="130">
        <v>0</v>
      </c>
    </row>
    <row r="28" spans="1:6" ht="47.25" x14ac:dyDescent="0.2">
      <c r="A28" s="127" t="s">
        <v>402</v>
      </c>
      <c r="B28" s="128" t="s">
        <v>403</v>
      </c>
      <c r="C28" s="8">
        <v>0</v>
      </c>
      <c r="D28" s="8">
        <f>-883500-26657365-56092284-4572000-2164782-32518042-17846380</f>
        <v>-140734353</v>
      </c>
      <c r="E28" s="8">
        <f>883500+26657365+56092284+4572000+2164782+32518042+17846380</f>
        <v>140734353</v>
      </c>
      <c r="F28" s="130">
        <f>E28</f>
        <v>140734353</v>
      </c>
    </row>
    <row r="29" spans="1:6" ht="15.75" x14ac:dyDescent="0.25">
      <c r="A29" s="131" t="s">
        <v>6</v>
      </c>
      <c r="B29" s="132" t="s">
        <v>404</v>
      </c>
      <c r="C29" s="133">
        <f>C24</f>
        <v>117111302</v>
      </c>
      <c r="D29" s="133">
        <f>D24</f>
        <v>-23623051</v>
      </c>
      <c r="E29" s="133">
        <f>E24</f>
        <v>140734353</v>
      </c>
      <c r="F29" s="134">
        <f>F24</f>
        <v>140734353</v>
      </c>
    </row>
    <row r="30" spans="1:6" ht="22.9" customHeight="1" x14ac:dyDescent="0.25">
      <c r="A30" s="778" t="s">
        <v>405</v>
      </c>
      <c r="B30" s="779"/>
      <c r="C30" s="779"/>
      <c r="D30" s="779"/>
      <c r="E30" s="779"/>
      <c r="F30" s="780"/>
    </row>
    <row r="31" spans="1:6" ht="31.5" x14ac:dyDescent="0.2">
      <c r="A31" s="124" t="s">
        <v>406</v>
      </c>
      <c r="B31" s="125" t="s">
        <v>407</v>
      </c>
      <c r="C31" s="113">
        <f>C24</f>
        <v>117111302</v>
      </c>
      <c r="D31" s="113">
        <f>D24</f>
        <v>-23623051</v>
      </c>
      <c r="E31" s="113">
        <f>E24</f>
        <v>140734353</v>
      </c>
      <c r="F31" s="135">
        <f>F24</f>
        <v>140734353</v>
      </c>
    </row>
    <row r="32" spans="1:6" ht="15.75" x14ac:dyDescent="0.2">
      <c r="A32" s="127" t="s">
        <v>408</v>
      </c>
      <c r="B32" s="128" t="s">
        <v>409</v>
      </c>
      <c r="C32" s="8">
        <f>C25</f>
        <v>117111302</v>
      </c>
      <c r="D32" s="8">
        <f>D25</f>
        <v>-23623051</v>
      </c>
      <c r="E32" s="8">
        <f>E35</f>
        <v>140734353</v>
      </c>
      <c r="F32" s="130">
        <f>F35</f>
        <v>140734353</v>
      </c>
    </row>
    <row r="33" spans="1:16" ht="15.75" x14ac:dyDescent="0.2">
      <c r="A33" s="127" t="s">
        <v>410</v>
      </c>
      <c r="B33" s="128" t="s">
        <v>399</v>
      </c>
      <c r="C33" s="8">
        <f>D33</f>
        <v>122111302</v>
      </c>
      <c r="D33" s="8">
        <f>D26</f>
        <v>122111302</v>
      </c>
      <c r="E33" s="8">
        <v>0</v>
      </c>
      <c r="F33" s="130">
        <v>0</v>
      </c>
      <c r="I33" s="136"/>
    </row>
    <row r="34" spans="1:16" ht="15.75" x14ac:dyDescent="0.2">
      <c r="A34" s="127" t="s">
        <v>411</v>
      </c>
      <c r="B34" s="128" t="s">
        <v>401</v>
      </c>
      <c r="C34" s="8">
        <f>C27</f>
        <v>5000000</v>
      </c>
      <c r="D34" s="8">
        <f>D27</f>
        <v>5000000</v>
      </c>
      <c r="E34" s="8">
        <v>0</v>
      </c>
      <c r="F34" s="130">
        <v>0</v>
      </c>
    </row>
    <row r="35" spans="1:16" ht="51.6" customHeight="1" thickBot="1" x14ac:dyDescent="0.25">
      <c r="A35" s="137" t="s">
        <v>412</v>
      </c>
      <c r="B35" s="138" t="s">
        <v>403</v>
      </c>
      <c r="C35" s="14">
        <v>0</v>
      </c>
      <c r="D35" s="14">
        <f t="shared" ref="D35:F36" si="0">D28</f>
        <v>-140734353</v>
      </c>
      <c r="E35" s="14">
        <f>E28</f>
        <v>140734353</v>
      </c>
      <c r="F35" s="139">
        <f>F28</f>
        <v>140734353</v>
      </c>
    </row>
    <row r="36" spans="1:16" ht="19.149999999999999" customHeight="1" thickBot="1" x14ac:dyDescent="0.3">
      <c r="A36" s="140" t="s">
        <v>6</v>
      </c>
      <c r="B36" s="141" t="s">
        <v>404</v>
      </c>
      <c r="C36" s="142">
        <f>C29</f>
        <v>117111302</v>
      </c>
      <c r="D36" s="142">
        <f t="shared" si="0"/>
        <v>-23623051</v>
      </c>
      <c r="E36" s="142">
        <f t="shared" si="0"/>
        <v>140734353</v>
      </c>
      <c r="F36" s="143">
        <f t="shared" si="0"/>
        <v>140734353</v>
      </c>
    </row>
    <row r="38" spans="1:16" ht="13.5" customHeight="1" x14ac:dyDescent="0.2"/>
    <row r="39" spans="1:16" s="5" customFormat="1" ht="42.6" customHeight="1" x14ac:dyDescent="0.2">
      <c r="A39" s="781" t="s">
        <v>389</v>
      </c>
      <c r="B39" s="781"/>
      <c r="C39" s="144"/>
      <c r="D39" s="144"/>
      <c r="E39" s="782" t="s">
        <v>459</v>
      </c>
      <c r="F39" s="782"/>
      <c r="G39" s="3"/>
      <c r="H39" s="3"/>
      <c r="I39" s="3"/>
      <c r="K39" s="3"/>
      <c r="L39" s="145"/>
      <c r="M39" s="3"/>
      <c r="N39" s="146"/>
      <c r="O39" s="147"/>
      <c r="P39" s="148"/>
    </row>
    <row r="40" spans="1:16" s="20" customFormat="1" ht="20.25" x14ac:dyDescent="0.3">
      <c r="A40" s="19"/>
      <c r="B40" s="19"/>
      <c r="F40" s="21"/>
    </row>
    <row r="41" spans="1:16" ht="15.75" x14ac:dyDescent="0.2">
      <c r="A41" s="22"/>
      <c r="B41" s="22"/>
    </row>
    <row r="42" spans="1:16" ht="15.75" x14ac:dyDescent="0.2">
      <c r="A42" s="783"/>
      <c r="B42" s="783"/>
    </row>
    <row r="43" spans="1:16" ht="15.75" x14ac:dyDescent="0.25">
      <c r="A43" s="1"/>
    </row>
  </sheetData>
  <mergeCells count="15">
    <mergeCell ref="A23:F23"/>
    <mergeCell ref="A30:F30"/>
    <mergeCell ref="A39:B39"/>
    <mergeCell ref="E39:F39"/>
    <mergeCell ref="A42:B42"/>
    <mergeCell ref="D5:E5"/>
    <mergeCell ref="D13:E13"/>
    <mergeCell ref="A15:F15"/>
    <mergeCell ref="A19:A21"/>
    <mergeCell ref="B19:B21"/>
    <mergeCell ref="C19:C21"/>
    <mergeCell ref="D19:D21"/>
    <mergeCell ref="E19:F19"/>
    <mergeCell ref="E20:E21"/>
    <mergeCell ref="F20:F21"/>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50"/>
  <sheetViews>
    <sheetView view="pageBreakPreview" topLeftCell="B1" zoomScaleNormal="100" zoomScaleSheetLayoutView="100" workbookViewId="0">
      <selection activeCell="M26" sqref="M26"/>
    </sheetView>
  </sheetViews>
  <sheetFormatPr defaultColWidth="8.85546875" defaultRowHeight="15.75" x14ac:dyDescent="0.25"/>
  <cols>
    <col min="1" max="1" width="15.140625" style="54" customWidth="1"/>
    <col min="2" max="2" width="13.140625" style="54" customWidth="1"/>
    <col min="3" max="3" width="14" style="54" customWidth="1"/>
    <col min="4" max="4" width="47.28515625" style="55" customWidth="1"/>
    <col min="5" max="8" width="15.7109375" style="55" customWidth="1"/>
    <col min="9" max="15" width="15.7109375" style="56" customWidth="1"/>
    <col min="16" max="16" width="15.7109375" style="55" customWidth="1"/>
    <col min="17" max="17" width="10.140625" style="1" bestFit="1" customWidth="1"/>
    <col min="18" max="18" width="8.85546875" style="1"/>
    <col min="19" max="19" width="10.5703125" style="1" bestFit="1" customWidth="1"/>
    <col min="20" max="16384" width="8.85546875" style="1"/>
  </cols>
  <sheetData>
    <row r="1" spans="1:17" x14ac:dyDescent="0.25">
      <c r="N1" s="99" t="s">
        <v>285</v>
      </c>
      <c r="O1" s="4"/>
    </row>
    <row r="2" spans="1:17" x14ac:dyDescent="0.25">
      <c r="N2" s="99" t="s">
        <v>281</v>
      </c>
      <c r="O2" s="4"/>
    </row>
    <row r="3" spans="1:17" x14ac:dyDescent="0.25">
      <c r="N3" s="100" t="s">
        <v>661</v>
      </c>
      <c r="O3" s="7"/>
    </row>
    <row r="4" spans="1:17" x14ac:dyDescent="0.25">
      <c r="N4" s="101" t="s">
        <v>662</v>
      </c>
      <c r="O4" s="102"/>
    </row>
    <row r="5" spans="1:17" x14ac:dyDescent="0.25">
      <c r="N5" s="747" t="s">
        <v>468</v>
      </c>
      <c r="O5" s="747"/>
    </row>
    <row r="7" spans="1:17" ht="29.25" customHeight="1" x14ac:dyDescent="0.25">
      <c r="K7" s="55"/>
      <c r="L7" s="55"/>
      <c r="M7" s="55"/>
      <c r="N7" s="787" t="s">
        <v>280</v>
      </c>
      <c r="O7" s="787"/>
      <c r="P7" s="787"/>
      <c r="Q7" s="2"/>
    </row>
    <row r="8" spans="1:17" x14ac:dyDescent="0.25">
      <c r="K8" s="55"/>
      <c r="L8" s="55"/>
      <c r="M8" s="55"/>
      <c r="N8" s="788" t="s">
        <v>7</v>
      </c>
      <c r="O8" s="788"/>
      <c r="P8" s="788"/>
      <c r="Q8" s="32"/>
    </row>
    <row r="9" spans="1:17" x14ac:dyDescent="0.25">
      <c r="K9" s="55"/>
      <c r="L9" s="55"/>
      <c r="M9" s="55"/>
      <c r="N9" s="788" t="s">
        <v>8</v>
      </c>
      <c r="O9" s="788"/>
      <c r="P9" s="788"/>
      <c r="Q9" s="32"/>
    </row>
    <row r="10" spans="1:17" x14ac:dyDescent="0.25">
      <c r="K10" s="55"/>
      <c r="L10" s="55"/>
      <c r="M10" s="55"/>
      <c r="N10" s="788" t="s">
        <v>228</v>
      </c>
      <c r="O10" s="788"/>
      <c r="P10" s="788"/>
      <c r="Q10" s="32"/>
    </row>
    <row r="11" spans="1:17" x14ac:dyDescent="0.25">
      <c r="K11" s="55"/>
      <c r="L11" s="55"/>
      <c r="M11" s="55"/>
      <c r="N11" s="784" t="s">
        <v>457</v>
      </c>
      <c r="O11" s="784"/>
      <c r="P11" s="107"/>
      <c r="Q11" s="32"/>
    </row>
    <row r="12" spans="1:17" x14ac:dyDescent="0.25">
      <c r="K12" s="55"/>
      <c r="L12" s="55"/>
      <c r="M12" s="55"/>
      <c r="N12" s="784" t="s">
        <v>463</v>
      </c>
      <c r="O12" s="784"/>
      <c r="P12" s="107"/>
      <c r="Q12" s="32"/>
    </row>
    <row r="13" spans="1:17" x14ac:dyDescent="0.25">
      <c r="K13" s="55"/>
      <c r="L13" s="55"/>
      <c r="M13" s="55"/>
      <c r="N13" s="788" t="s">
        <v>462</v>
      </c>
      <c r="O13" s="788"/>
      <c r="P13" s="788"/>
      <c r="Q13" s="21"/>
    </row>
    <row r="14" spans="1:17" x14ac:dyDescent="0.25">
      <c r="A14" s="790" t="s">
        <v>168</v>
      </c>
      <c r="B14" s="791"/>
      <c r="C14" s="791"/>
      <c r="D14" s="791"/>
      <c r="E14" s="791"/>
      <c r="F14" s="791"/>
      <c r="G14" s="791"/>
      <c r="H14" s="791"/>
      <c r="I14" s="791"/>
      <c r="J14" s="791"/>
      <c r="K14" s="791"/>
      <c r="L14" s="791"/>
      <c r="M14" s="791"/>
      <c r="N14" s="791"/>
      <c r="O14" s="791"/>
      <c r="P14" s="791"/>
    </row>
    <row r="15" spans="1:17" x14ac:dyDescent="0.25">
      <c r="A15" s="790" t="s">
        <v>253</v>
      </c>
      <c r="B15" s="791"/>
      <c r="C15" s="791"/>
      <c r="D15" s="791"/>
      <c r="E15" s="791"/>
      <c r="F15" s="791"/>
      <c r="G15" s="791"/>
      <c r="H15" s="791"/>
      <c r="I15" s="791"/>
      <c r="J15" s="791"/>
      <c r="K15" s="791"/>
      <c r="L15" s="791"/>
      <c r="M15" s="791"/>
      <c r="N15" s="791"/>
      <c r="O15" s="791"/>
      <c r="P15" s="791"/>
    </row>
    <row r="16" spans="1:17" x14ac:dyDescent="0.25">
      <c r="A16" s="57" t="s">
        <v>166</v>
      </c>
    </row>
    <row r="17" spans="1:16" ht="17.45" customHeight="1" thickBot="1" x14ac:dyDescent="0.3">
      <c r="A17" s="54" t="s">
        <v>0</v>
      </c>
      <c r="P17" s="56" t="s">
        <v>9</v>
      </c>
    </row>
    <row r="18" spans="1:16" s="33" customFormat="1" ht="12.75" x14ac:dyDescent="0.2">
      <c r="A18" s="792" t="s">
        <v>10</v>
      </c>
      <c r="B18" s="794" t="s">
        <v>11</v>
      </c>
      <c r="C18" s="794" t="s">
        <v>12</v>
      </c>
      <c r="D18" s="794" t="s">
        <v>13</v>
      </c>
      <c r="E18" s="794" t="s">
        <v>2</v>
      </c>
      <c r="F18" s="794"/>
      <c r="G18" s="794"/>
      <c r="H18" s="794"/>
      <c r="I18" s="794"/>
      <c r="J18" s="794" t="s">
        <v>3</v>
      </c>
      <c r="K18" s="794"/>
      <c r="L18" s="794"/>
      <c r="M18" s="794"/>
      <c r="N18" s="794"/>
      <c r="O18" s="794"/>
      <c r="P18" s="795" t="s">
        <v>169</v>
      </c>
    </row>
    <row r="19" spans="1:16" s="33" customFormat="1" ht="12.75" x14ac:dyDescent="0.2">
      <c r="A19" s="793"/>
      <c r="B19" s="786"/>
      <c r="C19" s="786"/>
      <c r="D19" s="786"/>
      <c r="E19" s="786" t="s">
        <v>4</v>
      </c>
      <c r="F19" s="786" t="s">
        <v>14</v>
      </c>
      <c r="G19" s="786" t="s">
        <v>170</v>
      </c>
      <c r="H19" s="786"/>
      <c r="I19" s="785" t="s">
        <v>171</v>
      </c>
      <c r="J19" s="786" t="s">
        <v>4</v>
      </c>
      <c r="K19" s="786" t="s">
        <v>5</v>
      </c>
      <c r="L19" s="786" t="s">
        <v>14</v>
      </c>
      <c r="M19" s="786" t="s">
        <v>170</v>
      </c>
      <c r="N19" s="786"/>
      <c r="O19" s="786" t="s">
        <v>171</v>
      </c>
      <c r="P19" s="796"/>
    </row>
    <row r="20" spans="1:16" s="33" customFormat="1" ht="12.75" x14ac:dyDescent="0.2">
      <c r="A20" s="793"/>
      <c r="B20" s="786"/>
      <c r="C20" s="786"/>
      <c r="D20" s="786"/>
      <c r="E20" s="786"/>
      <c r="F20" s="786"/>
      <c r="G20" s="786" t="s">
        <v>227</v>
      </c>
      <c r="H20" s="786" t="s">
        <v>172</v>
      </c>
      <c r="I20" s="785"/>
      <c r="J20" s="786"/>
      <c r="K20" s="786"/>
      <c r="L20" s="786"/>
      <c r="M20" s="786" t="s">
        <v>227</v>
      </c>
      <c r="N20" s="786" t="s">
        <v>172</v>
      </c>
      <c r="O20" s="786"/>
      <c r="P20" s="796"/>
    </row>
    <row r="21" spans="1:16" s="33" customFormat="1" ht="51" customHeight="1" x14ac:dyDescent="0.2">
      <c r="A21" s="793"/>
      <c r="B21" s="786"/>
      <c r="C21" s="786"/>
      <c r="D21" s="786"/>
      <c r="E21" s="786"/>
      <c r="F21" s="786"/>
      <c r="G21" s="786"/>
      <c r="H21" s="786"/>
      <c r="I21" s="785"/>
      <c r="J21" s="786"/>
      <c r="K21" s="786"/>
      <c r="L21" s="786"/>
      <c r="M21" s="786"/>
      <c r="N21" s="786"/>
      <c r="O21" s="786"/>
      <c r="P21" s="796"/>
    </row>
    <row r="22" spans="1:16" ht="12" customHeight="1" thickBot="1" x14ac:dyDescent="0.3">
      <c r="A22" s="46">
        <v>1</v>
      </c>
      <c r="B22" s="47">
        <v>2</v>
      </c>
      <c r="C22" s="47">
        <v>3</v>
      </c>
      <c r="D22" s="47">
        <v>4</v>
      </c>
      <c r="E22" s="47">
        <v>5</v>
      </c>
      <c r="F22" s="47">
        <v>6</v>
      </c>
      <c r="G22" s="47">
        <v>7</v>
      </c>
      <c r="H22" s="47">
        <v>8</v>
      </c>
      <c r="I22" s="58">
        <v>9</v>
      </c>
      <c r="J22" s="58">
        <v>10</v>
      </c>
      <c r="K22" s="58">
        <v>11</v>
      </c>
      <c r="L22" s="58">
        <v>12</v>
      </c>
      <c r="M22" s="58">
        <v>13</v>
      </c>
      <c r="N22" s="58">
        <v>14</v>
      </c>
      <c r="O22" s="58">
        <v>15</v>
      </c>
      <c r="P22" s="59">
        <v>16</v>
      </c>
    </row>
    <row r="23" spans="1:16" ht="45.75" customHeight="1" thickBot="1" x14ac:dyDescent="0.3">
      <c r="A23" s="43" t="s">
        <v>15</v>
      </c>
      <c r="B23" s="44" t="s">
        <v>16</v>
      </c>
      <c r="C23" s="44" t="s">
        <v>16</v>
      </c>
      <c r="D23" s="45" t="s">
        <v>17</v>
      </c>
      <c r="E23" s="60">
        <f>E24</f>
        <v>120428948</v>
      </c>
      <c r="F23" s="60">
        <f>F24</f>
        <v>120428948</v>
      </c>
      <c r="G23" s="60">
        <f t="shared" ref="G23:I23" si="0">G24</f>
        <v>23566881</v>
      </c>
      <c r="H23" s="60">
        <f t="shared" si="0"/>
        <v>2835579</v>
      </c>
      <c r="I23" s="61">
        <f t="shared" si="0"/>
        <v>0</v>
      </c>
      <c r="J23" s="61">
        <f>J24</f>
        <v>49106664</v>
      </c>
      <c r="K23" s="61">
        <f>K24</f>
        <v>49106664</v>
      </c>
      <c r="L23" s="61">
        <f t="shared" ref="L23:O23" si="1">L24</f>
        <v>0</v>
      </c>
      <c r="M23" s="61">
        <f t="shared" si="1"/>
        <v>0</v>
      </c>
      <c r="N23" s="61">
        <f t="shared" si="1"/>
        <v>0</v>
      </c>
      <c r="O23" s="61">
        <f t="shared" si="1"/>
        <v>49106664</v>
      </c>
      <c r="P23" s="62">
        <f>E23+J23</f>
        <v>169535612</v>
      </c>
    </row>
    <row r="24" spans="1:16" ht="31.5" x14ac:dyDescent="0.25">
      <c r="A24" s="63" t="s">
        <v>18</v>
      </c>
      <c r="B24" s="64" t="s">
        <v>16</v>
      </c>
      <c r="C24" s="64" t="s">
        <v>16</v>
      </c>
      <c r="D24" s="65" t="s">
        <v>17</v>
      </c>
      <c r="E24" s="66">
        <f>E25+E27+E28+E30+E33+E35+E36+E37+E26+E29+E38+E34</f>
        <v>120428948</v>
      </c>
      <c r="F24" s="66">
        <f>F25+F27+F28+F30+F33+F35+F36+F37+F26+F29+F38+F34</f>
        <v>120428948</v>
      </c>
      <c r="G24" s="66">
        <f>G25+G27+G28+G30+G33+G35+G36+G37+G26+G29</f>
        <v>23566881</v>
      </c>
      <c r="H24" s="66">
        <f>H25+H27+H28+H30+H33+H35+H36+H37+H26+H29</f>
        <v>2835579</v>
      </c>
      <c r="I24" s="67">
        <f>I25+I27+I28+I30+I33+I35+I36+I37+I26+I29</f>
        <v>0</v>
      </c>
      <c r="J24" s="67">
        <f>J25+J26+J27+J28+J29+J30+J31+J32+J33+J34+J35+J36+J37+J38</f>
        <v>49106664</v>
      </c>
      <c r="K24" s="67">
        <f>K25+K26+K27+K28+K29+K30+K31+K32+K33+K34+K35+K36+K37+K38</f>
        <v>49106664</v>
      </c>
      <c r="L24" s="67">
        <f t="shared" ref="L24:N24" si="2">L25+L26+L27+L29+L30+L31+L32+L33+L35+L36+L36+L37+L28</f>
        <v>0</v>
      </c>
      <c r="M24" s="67">
        <f t="shared" si="2"/>
        <v>0</v>
      </c>
      <c r="N24" s="67">
        <f t="shared" si="2"/>
        <v>0</v>
      </c>
      <c r="O24" s="67">
        <f>O25+O26+O27+O28+O29+O30+O31+O32+O33+O34+O35+O36+O37+O38</f>
        <v>49106664</v>
      </c>
      <c r="P24" s="68">
        <f>E24+J24</f>
        <v>169535612</v>
      </c>
    </row>
    <row r="25" spans="1:16" ht="78.75" x14ac:dyDescent="0.25">
      <c r="A25" s="737" t="s">
        <v>173</v>
      </c>
      <c r="B25" s="739" t="s">
        <v>174</v>
      </c>
      <c r="C25" s="739" t="s">
        <v>19</v>
      </c>
      <c r="D25" s="30" t="s">
        <v>175</v>
      </c>
      <c r="E25" s="49">
        <f>F25+I25</f>
        <v>30404221</v>
      </c>
      <c r="F25" s="49">
        <f>25894260-83000+3781712+294042+500000+17207</f>
        <v>30404221</v>
      </c>
      <c r="G25" s="49">
        <f>19785169+3781712</f>
        <v>23566881</v>
      </c>
      <c r="H25" s="49">
        <v>2835579</v>
      </c>
      <c r="I25" s="8">
        <v>0</v>
      </c>
      <c r="J25" s="67">
        <f>L25+O25</f>
        <v>338000</v>
      </c>
      <c r="K25" s="8">
        <f>338000</f>
        <v>338000</v>
      </c>
      <c r="L25" s="8"/>
      <c r="M25" s="8">
        <v>0</v>
      </c>
      <c r="N25" s="8">
        <v>0</v>
      </c>
      <c r="O25" s="8">
        <f>338000</f>
        <v>338000</v>
      </c>
      <c r="P25" s="95">
        <f>E25+J25</f>
        <v>30742221</v>
      </c>
    </row>
    <row r="26" spans="1:16" x14ac:dyDescent="0.25">
      <c r="A26" s="70" t="s">
        <v>447</v>
      </c>
      <c r="B26" s="69" t="s">
        <v>226</v>
      </c>
      <c r="C26" s="69" t="s">
        <v>224</v>
      </c>
      <c r="D26" s="30" t="s">
        <v>472</v>
      </c>
      <c r="E26" s="49">
        <f>F26+I26</f>
        <v>109000</v>
      </c>
      <c r="F26" s="49">
        <f>141000-32000</f>
        <v>109000</v>
      </c>
      <c r="G26" s="49">
        <v>0</v>
      </c>
      <c r="H26" s="49">
        <v>0</v>
      </c>
      <c r="I26" s="49">
        <v>0</v>
      </c>
      <c r="J26" s="67">
        <f t="shared" ref="J26:J27" si="3">L26+O26</f>
        <v>0</v>
      </c>
      <c r="K26" s="49">
        <v>0</v>
      </c>
      <c r="L26" s="49">
        <v>0</v>
      </c>
      <c r="M26" s="49">
        <v>0</v>
      </c>
      <c r="N26" s="49">
        <v>0</v>
      </c>
      <c r="O26" s="49">
        <v>0</v>
      </c>
      <c r="P26" s="95">
        <f t="shared" ref="P26:P35" si="4">E26+J26</f>
        <v>109000</v>
      </c>
    </row>
    <row r="27" spans="1:16" ht="31.5" x14ac:dyDescent="0.25">
      <c r="A27" s="737" t="s">
        <v>20</v>
      </c>
      <c r="B27" s="739" t="s">
        <v>21</v>
      </c>
      <c r="C27" s="739" t="s">
        <v>22</v>
      </c>
      <c r="D27" s="30" t="s">
        <v>23</v>
      </c>
      <c r="E27" s="49">
        <f t="shared" ref="E27:E36" si="5">F27+I27</f>
        <v>22925874</v>
      </c>
      <c r="F27" s="49">
        <v>22925874</v>
      </c>
      <c r="G27" s="49">
        <v>0</v>
      </c>
      <c r="H27" s="49">
        <v>0</v>
      </c>
      <c r="I27" s="8">
        <v>0</v>
      </c>
      <c r="J27" s="67">
        <f t="shared" si="3"/>
        <v>2173600</v>
      </c>
      <c r="K27" s="8">
        <f>0+2173600</f>
        <v>2173600</v>
      </c>
      <c r="L27" s="8">
        <v>0</v>
      </c>
      <c r="M27" s="8">
        <v>0</v>
      </c>
      <c r="N27" s="8">
        <v>0</v>
      </c>
      <c r="O27" s="8">
        <v>2173600</v>
      </c>
      <c r="P27" s="95">
        <f t="shared" si="4"/>
        <v>25099474</v>
      </c>
    </row>
    <row r="28" spans="1:16" ht="47.25" x14ac:dyDescent="0.25">
      <c r="A28" s="737" t="s">
        <v>24</v>
      </c>
      <c r="B28" s="739" t="s">
        <v>25</v>
      </c>
      <c r="C28" s="739" t="s">
        <v>26</v>
      </c>
      <c r="D28" s="30" t="s">
        <v>27</v>
      </c>
      <c r="E28" s="49">
        <f t="shared" si="5"/>
        <v>619449</v>
      </c>
      <c r="F28" s="49">
        <f>556580+62869</f>
        <v>619449</v>
      </c>
      <c r="G28" s="49">
        <v>0</v>
      </c>
      <c r="H28" s="49">
        <v>0</v>
      </c>
      <c r="I28" s="8">
        <v>0</v>
      </c>
      <c r="J28" s="67">
        <f>L28+O28</f>
        <v>372400</v>
      </c>
      <c r="K28" s="8">
        <v>372400</v>
      </c>
      <c r="L28" s="8">
        <v>0</v>
      </c>
      <c r="M28" s="8">
        <v>0</v>
      </c>
      <c r="N28" s="8">
        <v>0</v>
      </c>
      <c r="O28" s="8">
        <v>372400</v>
      </c>
      <c r="P28" s="95">
        <f t="shared" si="4"/>
        <v>991849</v>
      </c>
    </row>
    <row r="29" spans="1:16" ht="31.5" x14ac:dyDescent="0.25">
      <c r="A29" s="70" t="s">
        <v>236</v>
      </c>
      <c r="B29" s="739">
        <v>2152</v>
      </c>
      <c r="C29" s="69" t="s">
        <v>237</v>
      </c>
      <c r="D29" s="30" t="s">
        <v>254</v>
      </c>
      <c r="E29" s="49">
        <f t="shared" si="5"/>
        <v>3407103</v>
      </c>
      <c r="F29" s="49">
        <f>2810623+596480</f>
        <v>3407103</v>
      </c>
      <c r="G29" s="49">
        <v>0</v>
      </c>
      <c r="H29" s="49">
        <v>0</v>
      </c>
      <c r="I29" s="49">
        <v>0</v>
      </c>
      <c r="J29" s="67">
        <f t="shared" ref="J29:J31" si="6">L29+O29</f>
        <v>0</v>
      </c>
      <c r="K29" s="49">
        <v>0</v>
      </c>
      <c r="L29" s="49">
        <v>0</v>
      </c>
      <c r="M29" s="49">
        <v>0</v>
      </c>
      <c r="N29" s="49">
        <v>0</v>
      </c>
      <c r="O29" s="49">
        <v>0</v>
      </c>
      <c r="P29" s="95">
        <f t="shared" si="4"/>
        <v>3407103</v>
      </c>
    </row>
    <row r="30" spans="1:16" ht="31.5" x14ac:dyDescent="0.25">
      <c r="A30" s="737" t="s">
        <v>31</v>
      </c>
      <c r="B30" s="739" t="s">
        <v>32</v>
      </c>
      <c r="C30" s="739" t="s">
        <v>33</v>
      </c>
      <c r="D30" s="30" t="s">
        <v>34</v>
      </c>
      <c r="E30" s="49">
        <f t="shared" si="5"/>
        <v>356546</v>
      </c>
      <c r="F30" s="49">
        <f>72000+284546</f>
        <v>356546</v>
      </c>
      <c r="G30" s="49">
        <v>0</v>
      </c>
      <c r="H30" s="49">
        <v>0</v>
      </c>
      <c r="I30" s="8">
        <v>0</v>
      </c>
      <c r="J30" s="67">
        <f>L30+O30</f>
        <v>53364</v>
      </c>
      <c r="K30" s="8">
        <f>0+53364</f>
        <v>53364</v>
      </c>
      <c r="L30" s="8">
        <v>0</v>
      </c>
      <c r="M30" s="8">
        <v>0</v>
      </c>
      <c r="N30" s="8">
        <v>0</v>
      </c>
      <c r="O30" s="8">
        <f>K30</f>
        <v>53364</v>
      </c>
      <c r="P30" s="95">
        <f>E30+J30</f>
        <v>409910</v>
      </c>
    </row>
    <row r="31" spans="1:16" ht="32.25" customHeight="1" x14ac:dyDescent="0.25">
      <c r="A31" s="70" t="s">
        <v>255</v>
      </c>
      <c r="B31" s="69">
        <v>7650</v>
      </c>
      <c r="C31" s="69" t="s">
        <v>178</v>
      </c>
      <c r="D31" s="30" t="s">
        <v>256</v>
      </c>
      <c r="E31" s="49">
        <f t="shared" si="5"/>
        <v>0</v>
      </c>
      <c r="F31" s="49">
        <v>0</v>
      </c>
      <c r="G31" s="49">
        <v>0</v>
      </c>
      <c r="H31" s="49">
        <v>0</v>
      </c>
      <c r="I31" s="8">
        <v>0</v>
      </c>
      <c r="J31" s="67">
        <f t="shared" si="6"/>
        <v>57000</v>
      </c>
      <c r="K31" s="8">
        <v>57000</v>
      </c>
      <c r="L31" s="8">
        <v>0</v>
      </c>
      <c r="M31" s="49">
        <v>0</v>
      </c>
      <c r="N31" s="49">
        <v>0</v>
      </c>
      <c r="O31" s="8">
        <v>57000</v>
      </c>
      <c r="P31" s="95">
        <f t="shared" si="4"/>
        <v>57000</v>
      </c>
    </row>
    <row r="32" spans="1:16" ht="78.75" x14ac:dyDescent="0.25">
      <c r="A32" s="70" t="s">
        <v>257</v>
      </c>
      <c r="B32" s="69" t="s">
        <v>258</v>
      </c>
      <c r="C32" s="69" t="s">
        <v>178</v>
      </c>
      <c r="D32" s="30" t="s">
        <v>259</v>
      </c>
      <c r="E32" s="49">
        <f t="shared" si="5"/>
        <v>0</v>
      </c>
      <c r="F32" s="49">
        <v>0</v>
      </c>
      <c r="G32" s="49">
        <v>0</v>
      </c>
      <c r="H32" s="49">
        <v>0</v>
      </c>
      <c r="I32" s="8">
        <v>0</v>
      </c>
      <c r="J32" s="244">
        <f>L32+O32</f>
        <v>16900</v>
      </c>
      <c r="K32" s="8">
        <v>16900</v>
      </c>
      <c r="L32" s="8">
        <v>0</v>
      </c>
      <c r="M32" s="49">
        <v>0</v>
      </c>
      <c r="N32" s="49">
        <v>0</v>
      </c>
      <c r="O32" s="8">
        <v>16900</v>
      </c>
      <c r="P32" s="245">
        <f t="shared" si="4"/>
        <v>16900</v>
      </c>
    </row>
    <row r="33" spans="1:16" ht="31.5" x14ac:dyDescent="0.25">
      <c r="A33" s="737" t="s">
        <v>176</v>
      </c>
      <c r="B33" s="739" t="s">
        <v>177</v>
      </c>
      <c r="C33" s="739" t="s">
        <v>178</v>
      </c>
      <c r="D33" s="30" t="s">
        <v>179</v>
      </c>
      <c r="E33" s="49">
        <f t="shared" si="5"/>
        <v>39188</v>
      </c>
      <c r="F33" s="49">
        <v>39188</v>
      </c>
      <c r="G33" s="49">
        <v>0</v>
      </c>
      <c r="H33" s="49">
        <v>0</v>
      </c>
      <c r="I33" s="8">
        <v>0</v>
      </c>
      <c r="J33" s="67">
        <f t="shared" ref="J33:J37" si="7">L33+O33</f>
        <v>0</v>
      </c>
      <c r="K33" s="8">
        <v>0</v>
      </c>
      <c r="L33" s="8">
        <v>0</v>
      </c>
      <c r="M33" s="8">
        <v>0</v>
      </c>
      <c r="N33" s="8">
        <v>0</v>
      </c>
      <c r="O33" s="8">
        <v>0</v>
      </c>
      <c r="P33" s="95">
        <f t="shared" si="4"/>
        <v>39188</v>
      </c>
    </row>
    <row r="34" spans="1:16" ht="47.25" x14ac:dyDescent="0.25">
      <c r="A34" s="70" t="s">
        <v>597</v>
      </c>
      <c r="B34" s="739">
        <v>8110</v>
      </c>
      <c r="C34" s="69" t="s">
        <v>239</v>
      </c>
      <c r="D34" s="30" t="s">
        <v>240</v>
      </c>
      <c r="E34" s="49">
        <f>F34+I34</f>
        <v>1157300</v>
      </c>
      <c r="F34" s="49">
        <f>0+111980+1045320</f>
        <v>1157300</v>
      </c>
      <c r="G34" s="49"/>
      <c r="H34" s="49"/>
      <c r="I34" s="8"/>
      <c r="J34" s="67">
        <f t="shared" si="7"/>
        <v>0</v>
      </c>
      <c r="K34" s="8">
        <v>0</v>
      </c>
      <c r="L34" s="8"/>
      <c r="M34" s="8"/>
      <c r="N34" s="8"/>
      <c r="O34" s="8">
        <v>0</v>
      </c>
      <c r="P34" s="95">
        <f t="shared" si="4"/>
        <v>1157300</v>
      </c>
    </row>
    <row r="35" spans="1:16" ht="31.5" x14ac:dyDescent="0.25">
      <c r="A35" s="737" t="s">
        <v>35</v>
      </c>
      <c r="B35" s="739" t="s">
        <v>36</v>
      </c>
      <c r="C35" s="739" t="s">
        <v>37</v>
      </c>
      <c r="D35" s="30" t="s">
        <v>38</v>
      </c>
      <c r="E35" s="49">
        <f t="shared" si="5"/>
        <v>6000</v>
      </c>
      <c r="F35" s="49">
        <v>6000</v>
      </c>
      <c r="G35" s="49">
        <v>0</v>
      </c>
      <c r="H35" s="49">
        <v>0</v>
      </c>
      <c r="I35" s="8">
        <v>0</v>
      </c>
      <c r="J35" s="244">
        <f t="shared" si="7"/>
        <v>0</v>
      </c>
      <c r="K35" s="8">
        <v>0</v>
      </c>
      <c r="L35" s="8">
        <v>0</v>
      </c>
      <c r="M35" s="8">
        <v>0</v>
      </c>
      <c r="N35" s="8">
        <v>0</v>
      </c>
      <c r="O35" s="8">
        <v>0</v>
      </c>
      <c r="P35" s="245">
        <f t="shared" si="4"/>
        <v>6000</v>
      </c>
    </row>
    <row r="36" spans="1:16" ht="36" customHeight="1" x14ac:dyDescent="0.25">
      <c r="A36" s="737" t="s">
        <v>159</v>
      </c>
      <c r="B36" s="739" t="s">
        <v>180</v>
      </c>
      <c r="C36" s="739" t="s">
        <v>37</v>
      </c>
      <c r="D36" s="30" t="s">
        <v>160</v>
      </c>
      <c r="E36" s="49">
        <f t="shared" si="5"/>
        <v>18132201</v>
      </c>
      <c r="F36" s="49">
        <f>20061160-228060-2039391+338492</f>
        <v>18132201</v>
      </c>
      <c r="G36" s="49">
        <v>0</v>
      </c>
      <c r="H36" s="49">
        <v>0</v>
      </c>
      <c r="I36" s="8">
        <v>0</v>
      </c>
      <c r="J36" s="67">
        <f>K36</f>
        <v>900000</v>
      </c>
      <c r="K36" s="8">
        <f>0+900000</f>
        <v>900000</v>
      </c>
      <c r="L36" s="8">
        <v>0</v>
      </c>
      <c r="M36" s="8">
        <v>0</v>
      </c>
      <c r="N36" s="8">
        <v>0</v>
      </c>
      <c r="O36" s="8">
        <f>K36</f>
        <v>900000</v>
      </c>
      <c r="P36" s="95">
        <f>E36+J36</f>
        <v>19032201</v>
      </c>
    </row>
    <row r="37" spans="1:16" ht="31.5" x14ac:dyDescent="0.25">
      <c r="A37" s="737" t="s">
        <v>39</v>
      </c>
      <c r="B37" s="739" t="s">
        <v>40</v>
      </c>
      <c r="C37" s="739" t="s">
        <v>41</v>
      </c>
      <c r="D37" s="30" t="s">
        <v>42</v>
      </c>
      <c r="E37" s="49">
        <f>F37+I37</f>
        <v>3379702</v>
      </c>
      <c r="F37" s="49">
        <v>3379702</v>
      </c>
      <c r="G37" s="49">
        <v>0</v>
      </c>
      <c r="H37" s="49">
        <v>0</v>
      </c>
      <c r="I37" s="8">
        <v>0</v>
      </c>
      <c r="J37" s="67">
        <f t="shared" si="7"/>
        <v>0</v>
      </c>
      <c r="K37" s="8">
        <v>0</v>
      </c>
      <c r="L37" s="8">
        <v>0</v>
      </c>
      <c r="M37" s="8">
        <v>0</v>
      </c>
      <c r="N37" s="8">
        <v>0</v>
      </c>
      <c r="O37" s="8">
        <v>0</v>
      </c>
      <c r="P37" s="95">
        <f>E37+J37</f>
        <v>3379702</v>
      </c>
    </row>
    <row r="38" spans="1:16" ht="48" thickBot="1" x14ac:dyDescent="0.3">
      <c r="A38" s="220" t="s">
        <v>436</v>
      </c>
      <c r="B38" s="9">
        <v>9800</v>
      </c>
      <c r="C38" s="69" t="s">
        <v>226</v>
      </c>
      <c r="D38" s="216" t="s">
        <v>437</v>
      </c>
      <c r="E38" s="49">
        <f>F38+I38</f>
        <v>39892364</v>
      </c>
      <c r="F38" s="217">
        <f>5000000+1500000+521164+850000+63000+30300+14500000-1300000+428000+10000000+1000000+4000000+1299900+2000000</f>
        <v>39892364</v>
      </c>
      <c r="G38" s="217">
        <v>0</v>
      </c>
      <c r="H38" s="217">
        <v>0</v>
      </c>
      <c r="I38" s="218">
        <v>0</v>
      </c>
      <c r="J38" s="67">
        <f>L38+O38</f>
        <v>45195400</v>
      </c>
      <c r="K38" s="219">
        <f>0+1000000+150000+2937000+26000+310400+13500000+1300000+4572000+4000000-4000000+5000000+3000000+1000000+2500000+900000+1000000+3000000+5000000</f>
        <v>45195400</v>
      </c>
      <c r="L38" s="219">
        <v>0</v>
      </c>
      <c r="M38" s="219">
        <v>0</v>
      </c>
      <c r="N38" s="219">
        <v>0</v>
      </c>
      <c r="O38" s="219">
        <f>K38</f>
        <v>45195400</v>
      </c>
      <c r="P38" s="95">
        <f>E38+J38</f>
        <v>85087764</v>
      </c>
    </row>
    <row r="39" spans="1:16" ht="32.25" thickBot="1" x14ac:dyDescent="0.3">
      <c r="A39" s="43" t="s">
        <v>43</v>
      </c>
      <c r="B39" s="44" t="s">
        <v>16</v>
      </c>
      <c r="C39" s="44" t="s">
        <v>16</v>
      </c>
      <c r="D39" s="45" t="s">
        <v>44</v>
      </c>
      <c r="E39" s="71">
        <f>E40</f>
        <v>242569553</v>
      </c>
      <c r="F39" s="71">
        <f>F40</f>
        <v>242569553</v>
      </c>
      <c r="G39" s="71">
        <f t="shared" ref="G39:I39" si="8">G40</f>
        <v>180057912</v>
      </c>
      <c r="H39" s="71">
        <f t="shared" si="8"/>
        <v>26694450</v>
      </c>
      <c r="I39" s="71">
        <f t="shared" si="8"/>
        <v>0</v>
      </c>
      <c r="J39" s="71">
        <f>J40</f>
        <v>12133826</v>
      </c>
      <c r="K39" s="71">
        <f>K40</f>
        <v>1549318</v>
      </c>
      <c r="L39" s="71">
        <f t="shared" ref="L39:N39" si="9">L40</f>
        <v>9448178</v>
      </c>
      <c r="M39" s="71">
        <f>M40</f>
        <v>1183367</v>
      </c>
      <c r="N39" s="71">
        <f t="shared" si="9"/>
        <v>55353</v>
      </c>
      <c r="O39" s="71">
        <f>O40</f>
        <v>2685648</v>
      </c>
      <c r="P39" s="72">
        <f>E39+J39</f>
        <v>254703379</v>
      </c>
    </row>
    <row r="40" spans="1:16" s="34" customFormat="1" ht="31.5" x14ac:dyDescent="0.25">
      <c r="A40" s="63" t="s">
        <v>45</v>
      </c>
      <c r="B40" s="64" t="s">
        <v>16</v>
      </c>
      <c r="C40" s="64" t="s">
        <v>16</v>
      </c>
      <c r="D40" s="65" t="s">
        <v>44</v>
      </c>
      <c r="E40" s="51">
        <f>E41+E42+E43+E44+E45+E46+E47+E49+E50+E52+E53+E54+E56+E55+E48+E59+E57+E58+E51</f>
        <v>242569553</v>
      </c>
      <c r="F40" s="51">
        <f>F41+F42+F43+F44+F45+F46+F47+F49+F50+F52+F53+F54+F56+F55+F48+F59+F57+F58+F51</f>
        <v>242569553</v>
      </c>
      <c r="G40" s="51">
        <f>G41+G42+G43+G44+G45+G46+G47+G49+G50+G52+G53+G54+G56+G55+G48+G59+G57+G58</f>
        <v>180057912</v>
      </c>
      <c r="H40" s="51">
        <f>H41+H42+H43+H44+H45+H46+H47+H49+H50+H52+H53+H54+H56+H55+H48+H59+H57+H58</f>
        <v>26694450</v>
      </c>
      <c r="I40" s="51">
        <f t="shared" ref="I40:N40" si="10">I41+I42+I43+I44+I45+I52+I53+I54+I56</f>
        <v>0</v>
      </c>
      <c r="J40" s="51">
        <f>J41+J42+J43+J44+J45+J49+J50+J52+J53+J54+J56+J58</f>
        <v>12133826</v>
      </c>
      <c r="K40" s="51">
        <f>K41+K42+K43+K44+K45+K49+K50+K52+K53+K54+K56+K58</f>
        <v>1549318</v>
      </c>
      <c r="L40" s="51">
        <f>L41+L42+L43+L44+L45+L52+L53+L54+L56+L50</f>
        <v>9448178</v>
      </c>
      <c r="M40" s="51">
        <f>M41+M42+M43+M44+M45+M52+M53+M54+M56</f>
        <v>1183367</v>
      </c>
      <c r="N40" s="51">
        <f t="shared" si="10"/>
        <v>55353</v>
      </c>
      <c r="O40" s="51">
        <f>O41+O42+O43+O44+O45+O49+O50+O52+O53+O54+O56+O58</f>
        <v>2685648</v>
      </c>
      <c r="P40" s="73">
        <f>E40+J40</f>
        <v>254703379</v>
      </c>
    </row>
    <row r="41" spans="1:16" ht="47.25" x14ac:dyDescent="0.25">
      <c r="A41" s="737" t="s">
        <v>181</v>
      </c>
      <c r="B41" s="739" t="s">
        <v>46</v>
      </c>
      <c r="C41" s="739" t="s">
        <v>19</v>
      </c>
      <c r="D41" s="30" t="s">
        <v>182</v>
      </c>
      <c r="E41" s="49">
        <f>F41+I41</f>
        <v>4277189</v>
      </c>
      <c r="F41" s="49">
        <f>3424257+709486+96770+46676</f>
        <v>4277189</v>
      </c>
      <c r="G41" s="49">
        <f>2882617+709486</f>
        <v>3592103</v>
      </c>
      <c r="H41" s="49">
        <f>140633+17100</f>
        <v>157733</v>
      </c>
      <c r="I41" s="8">
        <v>0</v>
      </c>
      <c r="J41" s="8">
        <f>L41+O41</f>
        <v>0</v>
      </c>
      <c r="K41" s="8">
        <v>0</v>
      </c>
      <c r="L41" s="8">
        <v>0</v>
      </c>
      <c r="M41" s="8">
        <v>0</v>
      </c>
      <c r="N41" s="8">
        <v>0</v>
      </c>
      <c r="O41" s="8">
        <v>0</v>
      </c>
      <c r="P41" s="74">
        <f t="shared" ref="P41:P59" si="11">E41+J41</f>
        <v>4277189</v>
      </c>
    </row>
    <row r="42" spans="1:16" x14ac:dyDescent="0.25">
      <c r="A42" s="737" t="s">
        <v>47</v>
      </c>
      <c r="B42" s="739" t="s">
        <v>48</v>
      </c>
      <c r="C42" s="739" t="s">
        <v>49</v>
      </c>
      <c r="D42" s="30" t="s">
        <v>50</v>
      </c>
      <c r="E42" s="49">
        <f t="shared" ref="E42:E59" si="12">F42+I42</f>
        <v>76912730</v>
      </c>
      <c r="F42" s="49">
        <f>80978471-119222-4459-997112-2735805+721263-1683000+752594</f>
        <v>76912730</v>
      </c>
      <c r="G42" s="49">
        <f>62483112-85683-997112-2735805-1683000</f>
        <v>56981512</v>
      </c>
      <c r="H42" s="49">
        <f>8498224+81917+355423</f>
        <v>8935564</v>
      </c>
      <c r="I42" s="8">
        <v>0</v>
      </c>
      <c r="J42" s="8">
        <f>L42+O42</f>
        <v>2882033</v>
      </c>
      <c r="K42" s="8">
        <f>0+499750</f>
        <v>499750</v>
      </c>
      <c r="L42" s="8">
        <v>2382283</v>
      </c>
      <c r="M42" s="8"/>
      <c r="N42" s="8">
        <v>0</v>
      </c>
      <c r="O42" s="8">
        <f>K42</f>
        <v>499750</v>
      </c>
      <c r="P42" s="74">
        <f>E42+J42</f>
        <v>79794763</v>
      </c>
    </row>
    <row r="43" spans="1:16" ht="47.25" x14ac:dyDescent="0.25">
      <c r="A43" s="737" t="s">
        <v>51</v>
      </c>
      <c r="B43" s="739" t="s">
        <v>52</v>
      </c>
      <c r="C43" s="739" t="s">
        <v>53</v>
      </c>
      <c r="D43" s="30" t="s">
        <v>444</v>
      </c>
      <c r="E43" s="49">
        <f t="shared" si="12"/>
        <v>66868472</v>
      </c>
      <c r="F43" s="49">
        <f>63503220+499070+72600-179398-47847-30000+30000+47847+498000+175000-4823568+330058+3964258+2211161+618071</f>
        <v>66868472</v>
      </c>
      <c r="G43" s="49">
        <f>31257988+4214390-4823568</f>
        <v>30648810</v>
      </c>
      <c r="H43" s="49">
        <f>15409909+47847+1237554</f>
        <v>16695310</v>
      </c>
      <c r="I43" s="8">
        <v>0</v>
      </c>
      <c r="J43" s="8">
        <f>L43+O43</f>
        <v>6581445</v>
      </c>
      <c r="K43" s="8">
        <v>0</v>
      </c>
      <c r="L43" s="8">
        <v>6581445</v>
      </c>
      <c r="M43" s="8">
        <v>1183367</v>
      </c>
      <c r="N43" s="8">
        <v>55353</v>
      </c>
      <c r="O43" s="8">
        <v>0</v>
      </c>
      <c r="P43" s="74">
        <f>E43+J43</f>
        <v>73449917</v>
      </c>
    </row>
    <row r="44" spans="1:16" ht="60.6" customHeight="1" x14ac:dyDescent="0.25">
      <c r="A44" s="90" t="s">
        <v>183</v>
      </c>
      <c r="B44" s="91" t="s">
        <v>184</v>
      </c>
      <c r="C44" s="91" t="s">
        <v>53</v>
      </c>
      <c r="D44" s="30" t="s">
        <v>445</v>
      </c>
      <c r="E44" s="49">
        <f t="shared" si="12"/>
        <v>75510600</v>
      </c>
      <c r="F44" s="8">
        <v>75510600</v>
      </c>
      <c r="G44" s="8">
        <v>75510600</v>
      </c>
      <c r="H44" s="8">
        <v>0</v>
      </c>
      <c r="I44" s="8">
        <v>0</v>
      </c>
      <c r="J44" s="8">
        <f t="shared" ref="J44:J50" si="13">L44+O44</f>
        <v>0</v>
      </c>
      <c r="K44" s="8">
        <v>0</v>
      </c>
      <c r="L44" s="8">
        <v>0</v>
      </c>
      <c r="M44" s="8">
        <v>0</v>
      </c>
      <c r="N44" s="8">
        <v>0</v>
      </c>
      <c r="O44" s="8">
        <v>0</v>
      </c>
      <c r="P44" s="74">
        <f t="shared" si="11"/>
        <v>75510600</v>
      </c>
    </row>
    <row r="45" spans="1:16" ht="47.25" x14ac:dyDescent="0.25">
      <c r="A45" s="737" t="s">
        <v>55</v>
      </c>
      <c r="B45" s="739" t="s">
        <v>56</v>
      </c>
      <c r="C45" s="739" t="s">
        <v>57</v>
      </c>
      <c r="D45" s="30" t="s">
        <v>58</v>
      </c>
      <c r="E45" s="49">
        <f>F45+I45</f>
        <v>5555685</v>
      </c>
      <c r="F45" s="49">
        <f>5329432+140441+85812</f>
        <v>5555685</v>
      </c>
      <c r="G45" s="49">
        <v>4804311</v>
      </c>
      <c r="H45" s="49">
        <f>244601+85812</f>
        <v>330413</v>
      </c>
      <c r="I45" s="8">
        <v>0</v>
      </c>
      <c r="J45" s="8">
        <f t="shared" si="13"/>
        <v>0</v>
      </c>
      <c r="K45" s="8">
        <v>0</v>
      </c>
      <c r="L45" s="8">
        <v>0</v>
      </c>
      <c r="M45" s="8">
        <v>0</v>
      </c>
      <c r="N45" s="8">
        <v>0</v>
      </c>
      <c r="O45" s="8">
        <v>0</v>
      </c>
      <c r="P45" s="74">
        <f t="shared" si="11"/>
        <v>5555685</v>
      </c>
    </row>
    <row r="46" spans="1:16" ht="126" x14ac:dyDescent="0.25">
      <c r="A46" s="256" t="s">
        <v>508</v>
      </c>
      <c r="B46" s="257" t="s">
        <v>509</v>
      </c>
      <c r="C46" s="257" t="s">
        <v>59</v>
      </c>
      <c r="D46" s="258" t="s">
        <v>510</v>
      </c>
      <c r="E46" s="49">
        <f t="shared" ref="E46:E48" si="14">F46+I46</f>
        <v>104325</v>
      </c>
      <c r="F46" s="49">
        <v>104325</v>
      </c>
      <c r="G46" s="49">
        <v>104325</v>
      </c>
      <c r="H46" s="49"/>
      <c r="I46" s="8"/>
      <c r="J46" s="8"/>
      <c r="K46" s="8"/>
      <c r="L46" s="8"/>
      <c r="M46" s="8"/>
      <c r="N46" s="8"/>
      <c r="O46" s="8"/>
      <c r="P46" s="74">
        <f t="shared" si="11"/>
        <v>104325</v>
      </c>
    </row>
    <row r="47" spans="1:16" ht="126" x14ac:dyDescent="0.25">
      <c r="A47" s="259" t="s">
        <v>508</v>
      </c>
      <c r="B47" s="260" t="s">
        <v>509</v>
      </c>
      <c r="C47" s="260" t="s">
        <v>59</v>
      </c>
      <c r="D47" s="261" t="s">
        <v>511</v>
      </c>
      <c r="E47" s="49">
        <f t="shared" si="14"/>
        <v>187785</v>
      </c>
      <c r="F47" s="49">
        <v>187785</v>
      </c>
      <c r="G47" s="49">
        <f>F47</f>
        <v>187785</v>
      </c>
      <c r="H47" s="49"/>
      <c r="I47" s="8"/>
      <c r="J47" s="8"/>
      <c r="K47" s="8"/>
      <c r="L47" s="8"/>
      <c r="M47" s="8"/>
      <c r="N47" s="8"/>
      <c r="O47" s="8"/>
      <c r="P47" s="74">
        <f t="shared" si="11"/>
        <v>187785</v>
      </c>
    </row>
    <row r="48" spans="1:16" ht="78.75" x14ac:dyDescent="0.25">
      <c r="A48" s="70" t="s">
        <v>480</v>
      </c>
      <c r="B48" s="739">
        <v>1210</v>
      </c>
      <c r="C48" s="69" t="s">
        <v>59</v>
      </c>
      <c r="D48" s="30" t="s">
        <v>481</v>
      </c>
      <c r="E48" s="49">
        <f t="shared" si="14"/>
        <v>110550</v>
      </c>
      <c r="F48" s="49">
        <v>110550</v>
      </c>
      <c r="G48" s="49">
        <f>F48</f>
        <v>110550</v>
      </c>
      <c r="H48" s="49"/>
      <c r="I48" s="8"/>
      <c r="J48" s="8"/>
      <c r="K48" s="8"/>
      <c r="L48" s="8"/>
      <c r="M48" s="8"/>
      <c r="N48" s="8"/>
      <c r="O48" s="8"/>
      <c r="P48" s="74">
        <f t="shared" si="11"/>
        <v>110550</v>
      </c>
    </row>
    <row r="49" spans="1:16" ht="110.25" x14ac:dyDescent="0.25">
      <c r="A49" s="70" t="s">
        <v>440</v>
      </c>
      <c r="B49" s="69" t="s">
        <v>442</v>
      </c>
      <c r="C49" s="69" t="s">
        <v>59</v>
      </c>
      <c r="D49" s="30" t="s">
        <v>438</v>
      </c>
      <c r="E49" s="49">
        <f>F49+I49</f>
        <v>694620</v>
      </c>
      <c r="F49" s="49">
        <f>0+298620+396000</f>
        <v>694620</v>
      </c>
      <c r="G49" s="49">
        <v>0</v>
      </c>
      <c r="H49" s="49">
        <v>0</v>
      </c>
      <c r="I49" s="49">
        <v>0</v>
      </c>
      <c r="J49" s="8">
        <f t="shared" si="13"/>
        <v>0</v>
      </c>
      <c r="K49" s="8">
        <v>0</v>
      </c>
      <c r="L49" s="8">
        <v>0</v>
      </c>
      <c r="M49" s="8">
        <v>0</v>
      </c>
      <c r="N49" s="8">
        <v>0</v>
      </c>
      <c r="O49" s="8">
        <v>0</v>
      </c>
      <c r="P49" s="74">
        <f t="shared" si="11"/>
        <v>694620</v>
      </c>
    </row>
    <row r="50" spans="1:16" ht="110.25" x14ac:dyDescent="0.25">
      <c r="A50" s="70" t="s">
        <v>441</v>
      </c>
      <c r="B50" s="69" t="s">
        <v>443</v>
      </c>
      <c r="C50" s="69" t="s">
        <v>59</v>
      </c>
      <c r="D50" s="30" t="s">
        <v>439</v>
      </c>
      <c r="E50" s="49">
        <f t="shared" ref="E50:E51" si="15">F50+I50</f>
        <v>0</v>
      </c>
      <c r="F50" s="49">
        <v>0</v>
      </c>
      <c r="G50" s="49">
        <v>0</v>
      </c>
      <c r="H50" s="49">
        <v>0</v>
      </c>
      <c r="I50" s="49">
        <v>0</v>
      </c>
      <c r="J50" s="8">
        <f t="shared" si="13"/>
        <v>1620780</v>
      </c>
      <c r="K50" s="8">
        <v>0</v>
      </c>
      <c r="L50" s="8">
        <f>301938+182512</f>
        <v>484450</v>
      </c>
      <c r="M50" s="8">
        <v>0</v>
      </c>
      <c r="N50" s="8">
        <v>0</v>
      </c>
      <c r="O50" s="8">
        <f>696780-301938+741488</f>
        <v>1136330</v>
      </c>
      <c r="P50" s="74">
        <f t="shared" si="11"/>
        <v>1620780</v>
      </c>
    </row>
    <row r="51" spans="1:16" ht="63" x14ac:dyDescent="0.25">
      <c r="A51" s="70" t="s">
        <v>655</v>
      </c>
      <c r="B51" s="69" t="s">
        <v>657</v>
      </c>
      <c r="C51" s="69" t="s">
        <v>59</v>
      </c>
      <c r="D51" s="30" t="s">
        <v>656</v>
      </c>
      <c r="E51" s="49">
        <f t="shared" si="15"/>
        <v>2278000</v>
      </c>
      <c r="F51" s="49">
        <v>2278000</v>
      </c>
      <c r="G51" s="49"/>
      <c r="H51" s="49"/>
      <c r="I51" s="49"/>
      <c r="J51" s="8"/>
      <c r="K51" s="8"/>
      <c r="L51" s="8"/>
      <c r="M51" s="8"/>
      <c r="N51" s="8"/>
      <c r="O51" s="8"/>
      <c r="P51" s="74">
        <f t="shared" si="11"/>
        <v>2278000</v>
      </c>
    </row>
    <row r="52" spans="1:16" ht="31.5" x14ac:dyDescent="0.25">
      <c r="A52" s="737" t="s">
        <v>185</v>
      </c>
      <c r="B52" s="739" t="s">
        <v>186</v>
      </c>
      <c r="C52" s="739" t="s">
        <v>59</v>
      </c>
      <c r="D52" s="30" t="s">
        <v>187</v>
      </c>
      <c r="E52" s="49">
        <f t="shared" si="12"/>
        <v>4258888</v>
      </c>
      <c r="F52" s="49">
        <v>4258888</v>
      </c>
      <c r="G52" s="49">
        <v>3899966</v>
      </c>
      <c r="H52" s="49">
        <v>170008</v>
      </c>
      <c r="I52" s="8">
        <v>0</v>
      </c>
      <c r="J52" s="8">
        <v>0</v>
      </c>
      <c r="K52" s="8">
        <v>0</v>
      </c>
      <c r="L52" s="8">
        <v>0</v>
      </c>
      <c r="M52" s="8">
        <v>0</v>
      </c>
      <c r="N52" s="8">
        <v>0</v>
      </c>
      <c r="O52" s="8">
        <v>0</v>
      </c>
      <c r="P52" s="74">
        <f t="shared" si="11"/>
        <v>4258888</v>
      </c>
    </row>
    <row r="53" spans="1:16" x14ac:dyDescent="0.25">
      <c r="A53" s="737" t="s">
        <v>60</v>
      </c>
      <c r="B53" s="739" t="s">
        <v>61</v>
      </c>
      <c r="C53" s="739" t="s">
        <v>59</v>
      </c>
      <c r="D53" s="30" t="s">
        <v>62</v>
      </c>
      <c r="E53" s="49">
        <f t="shared" si="12"/>
        <v>69480</v>
      </c>
      <c r="F53" s="49">
        <f>14480+55000</f>
        <v>69480</v>
      </c>
      <c r="G53" s="49">
        <v>0</v>
      </c>
      <c r="H53" s="49">
        <v>0</v>
      </c>
      <c r="I53" s="8">
        <v>0</v>
      </c>
      <c r="J53" s="8">
        <v>0</v>
      </c>
      <c r="K53" s="8">
        <v>0</v>
      </c>
      <c r="L53" s="8">
        <v>0</v>
      </c>
      <c r="M53" s="8">
        <v>0</v>
      </c>
      <c r="N53" s="8">
        <v>0</v>
      </c>
      <c r="O53" s="8">
        <v>0</v>
      </c>
      <c r="P53" s="74">
        <f t="shared" si="11"/>
        <v>69480</v>
      </c>
    </row>
    <row r="54" spans="1:16" ht="47.25" x14ac:dyDescent="0.25">
      <c r="A54" s="737" t="s">
        <v>63</v>
      </c>
      <c r="B54" s="739" t="s">
        <v>64</v>
      </c>
      <c r="C54" s="739" t="s">
        <v>59</v>
      </c>
      <c r="D54" s="30" t="s">
        <v>65</v>
      </c>
      <c r="E54" s="49">
        <f t="shared" si="12"/>
        <v>1102208</v>
      </c>
      <c r="F54" s="49">
        <f>1183561+4459-85812</f>
        <v>1102208</v>
      </c>
      <c r="G54" s="49">
        <v>690594</v>
      </c>
      <c r="H54" s="49">
        <f>443408-85812</f>
        <v>357596</v>
      </c>
      <c r="I54" s="8">
        <v>0</v>
      </c>
      <c r="J54" s="8">
        <v>0</v>
      </c>
      <c r="K54" s="8">
        <v>0</v>
      </c>
      <c r="L54" s="8">
        <v>0</v>
      </c>
      <c r="M54" s="8">
        <v>0</v>
      </c>
      <c r="N54" s="8">
        <v>0</v>
      </c>
      <c r="O54" s="8">
        <v>0</v>
      </c>
      <c r="P54" s="74">
        <f t="shared" si="11"/>
        <v>1102208</v>
      </c>
    </row>
    <row r="55" spans="1:16" ht="47.25" x14ac:dyDescent="0.25">
      <c r="A55" s="735" t="s">
        <v>264</v>
      </c>
      <c r="B55" s="736" t="s">
        <v>265</v>
      </c>
      <c r="C55" s="736" t="s">
        <v>59</v>
      </c>
      <c r="D55" s="11" t="s">
        <v>266</v>
      </c>
      <c r="E55" s="49">
        <f t="shared" si="12"/>
        <v>1766200</v>
      </c>
      <c r="F55" s="49">
        <v>1766200</v>
      </c>
      <c r="G55" s="49">
        <v>1766200</v>
      </c>
      <c r="H55" s="49"/>
      <c r="I55" s="8"/>
      <c r="J55" s="8"/>
      <c r="K55" s="8"/>
      <c r="L55" s="8"/>
      <c r="M55" s="8"/>
      <c r="N55" s="8"/>
      <c r="O55" s="8"/>
      <c r="P55" s="74">
        <f t="shared" si="11"/>
        <v>1766200</v>
      </c>
    </row>
    <row r="56" spans="1:16" ht="31.5" x14ac:dyDescent="0.25">
      <c r="A56" s="737" t="s">
        <v>66</v>
      </c>
      <c r="B56" s="739" t="s">
        <v>67</v>
      </c>
      <c r="C56" s="739" t="s">
        <v>59</v>
      </c>
      <c r="D56" s="30" t="s">
        <v>68</v>
      </c>
      <c r="E56" s="49">
        <f t="shared" si="12"/>
        <v>1558497</v>
      </c>
      <c r="F56" s="49">
        <v>1558497</v>
      </c>
      <c r="G56" s="49">
        <v>1452012</v>
      </c>
      <c r="H56" s="49">
        <v>38669</v>
      </c>
      <c r="I56" s="8">
        <v>0</v>
      </c>
      <c r="J56" s="8">
        <v>0</v>
      </c>
      <c r="K56" s="8">
        <v>0</v>
      </c>
      <c r="L56" s="8">
        <v>0</v>
      </c>
      <c r="M56" s="8">
        <v>0</v>
      </c>
      <c r="N56" s="8">
        <v>0</v>
      </c>
      <c r="O56" s="8">
        <v>0</v>
      </c>
      <c r="P56" s="74">
        <f t="shared" si="11"/>
        <v>1558497</v>
      </c>
    </row>
    <row r="57" spans="1:16" ht="78.75" x14ac:dyDescent="0.25">
      <c r="A57" s="70" t="s">
        <v>640</v>
      </c>
      <c r="B57" s="739">
        <v>1181</v>
      </c>
      <c r="C57" s="739" t="s">
        <v>59</v>
      </c>
      <c r="D57" s="30" t="s">
        <v>641</v>
      </c>
      <c r="E57" s="49">
        <f t="shared" si="12"/>
        <v>449824</v>
      </c>
      <c r="F57" s="49">
        <v>449824</v>
      </c>
      <c r="G57" s="49"/>
      <c r="H57" s="49"/>
      <c r="I57" s="8"/>
      <c r="J57" s="8"/>
      <c r="K57" s="8"/>
      <c r="L57" s="8"/>
      <c r="M57" s="8"/>
      <c r="N57" s="8"/>
      <c r="O57" s="8"/>
      <c r="P57" s="74">
        <f t="shared" si="11"/>
        <v>449824</v>
      </c>
    </row>
    <row r="58" spans="1:16" ht="78.75" x14ac:dyDescent="0.25">
      <c r="A58" s="70" t="s">
        <v>642</v>
      </c>
      <c r="B58" s="739">
        <v>1182</v>
      </c>
      <c r="C58" s="739" t="s">
        <v>59</v>
      </c>
      <c r="D58" s="30" t="s">
        <v>644</v>
      </c>
      <c r="E58" s="49">
        <f t="shared" si="12"/>
        <v>0</v>
      </c>
      <c r="F58" s="49"/>
      <c r="G58" s="49"/>
      <c r="H58" s="49"/>
      <c r="I58" s="8"/>
      <c r="J58" s="8">
        <v>1049568</v>
      </c>
      <c r="K58" s="8">
        <v>1049568</v>
      </c>
      <c r="L58" s="8"/>
      <c r="M58" s="8"/>
      <c r="N58" s="8"/>
      <c r="O58" s="8">
        <f>K58</f>
        <v>1049568</v>
      </c>
      <c r="P58" s="74">
        <f t="shared" si="11"/>
        <v>1049568</v>
      </c>
    </row>
    <row r="59" spans="1:16" ht="79.5" thickBot="1" x14ac:dyDescent="0.3">
      <c r="A59" s="220" t="s">
        <v>482</v>
      </c>
      <c r="B59" s="9">
        <v>3140</v>
      </c>
      <c r="C59" s="9">
        <v>1040</v>
      </c>
      <c r="D59" s="255" t="s">
        <v>483</v>
      </c>
      <c r="E59" s="52">
        <f t="shared" si="12"/>
        <v>864500</v>
      </c>
      <c r="F59" s="217">
        <f>1300000-230000-205500</f>
        <v>864500</v>
      </c>
      <c r="G59" s="217">
        <f>464878-66683-14670-60968-13413</f>
        <v>309144</v>
      </c>
      <c r="H59" s="217">
        <f>13770-687-1181-542-629-1080-494</f>
        <v>9157</v>
      </c>
      <c r="I59" s="218"/>
      <c r="J59" s="218"/>
      <c r="K59" s="218"/>
      <c r="L59" s="218"/>
      <c r="M59" s="218"/>
      <c r="N59" s="218"/>
      <c r="O59" s="218"/>
      <c r="P59" s="644">
        <f t="shared" si="11"/>
        <v>864500</v>
      </c>
    </row>
    <row r="60" spans="1:16" ht="48" thickBot="1" x14ac:dyDescent="0.3">
      <c r="A60" s="43" t="s">
        <v>70</v>
      </c>
      <c r="B60" s="44" t="s">
        <v>16</v>
      </c>
      <c r="C60" s="44" t="s">
        <v>16</v>
      </c>
      <c r="D60" s="45" t="s">
        <v>71</v>
      </c>
      <c r="E60" s="71">
        <f>E61</f>
        <v>40594174</v>
      </c>
      <c r="F60" s="71">
        <f>F61</f>
        <v>40594174</v>
      </c>
      <c r="G60" s="71">
        <f t="shared" ref="G60:I60" si="16">G61</f>
        <v>17732544</v>
      </c>
      <c r="H60" s="71">
        <f t="shared" si="16"/>
        <v>365021</v>
      </c>
      <c r="I60" s="71">
        <f t="shared" si="16"/>
        <v>0</v>
      </c>
      <c r="J60" s="71">
        <f>J61</f>
        <v>2304282</v>
      </c>
      <c r="K60" s="71">
        <f>K61</f>
        <v>2291282</v>
      </c>
      <c r="L60" s="71">
        <f t="shared" ref="L60:O60" si="17">L61</f>
        <v>13000</v>
      </c>
      <c r="M60" s="71">
        <f t="shared" si="17"/>
        <v>0</v>
      </c>
      <c r="N60" s="71">
        <f t="shared" si="17"/>
        <v>0</v>
      </c>
      <c r="O60" s="71">
        <f t="shared" si="17"/>
        <v>2291282</v>
      </c>
      <c r="P60" s="72">
        <f>E60+J60</f>
        <v>42898456</v>
      </c>
    </row>
    <row r="61" spans="1:16" ht="47.25" x14ac:dyDescent="0.25">
      <c r="A61" s="63" t="s">
        <v>72</v>
      </c>
      <c r="B61" s="64" t="s">
        <v>16</v>
      </c>
      <c r="C61" s="64" t="s">
        <v>16</v>
      </c>
      <c r="D61" s="65" t="s">
        <v>71</v>
      </c>
      <c r="E61" s="52">
        <f>E62+E63+E64+E65+E68+E71+E72+E66+E67+E69+E70</f>
        <v>40594174</v>
      </c>
      <c r="F61" s="52">
        <f>F62+F63+F64+F65+F68+F71+F72+F66+F67+F69+F70</f>
        <v>40594174</v>
      </c>
      <c r="G61" s="52">
        <f>G62+G63+G64+G65+G68+G71+G72+G66+G67+G69+G70</f>
        <v>17732544</v>
      </c>
      <c r="H61" s="52">
        <f t="shared" ref="H61:N61" si="18">H62+H63+H64+H65+H68+H71+H72+H66+H67+H69+H70</f>
        <v>365021</v>
      </c>
      <c r="I61" s="52">
        <f t="shared" si="18"/>
        <v>0</v>
      </c>
      <c r="J61" s="52">
        <f>J62+J63+J64+J65+J68+J71+J72+J66+J67+J69+J70</f>
        <v>2304282</v>
      </c>
      <c r="K61" s="52">
        <f>K62+K63+K64+K65+K68+K71+K72+K66+K67+K69+K70</f>
        <v>2291282</v>
      </c>
      <c r="L61" s="52">
        <f t="shared" si="18"/>
        <v>13000</v>
      </c>
      <c r="M61" s="52">
        <f t="shared" si="18"/>
        <v>0</v>
      </c>
      <c r="N61" s="52">
        <f t="shared" si="18"/>
        <v>0</v>
      </c>
      <c r="O61" s="52">
        <f>O62+O63+O64+O65+O68+O71+O72+O66+O67+O69+O70</f>
        <v>2291282</v>
      </c>
      <c r="P61" s="73">
        <f>E61+J61</f>
        <v>42898456</v>
      </c>
    </row>
    <row r="62" spans="1:16" ht="47.25" x14ac:dyDescent="0.25">
      <c r="A62" s="737" t="s">
        <v>188</v>
      </c>
      <c r="B62" s="739" t="s">
        <v>46</v>
      </c>
      <c r="C62" s="739" t="s">
        <v>19</v>
      </c>
      <c r="D62" s="30" t="s">
        <v>182</v>
      </c>
      <c r="E62" s="49">
        <f>F62+I62</f>
        <v>8297992</v>
      </c>
      <c r="F62" s="49">
        <f>6900686+1397306</f>
        <v>8297992</v>
      </c>
      <c r="G62" s="49">
        <f>6491282+1397306</f>
        <v>7888588</v>
      </c>
      <c r="H62" s="49">
        <v>175849</v>
      </c>
      <c r="I62" s="8">
        <v>0</v>
      </c>
      <c r="J62" s="8">
        <f>L62+O62</f>
        <v>46000</v>
      </c>
      <c r="K62" s="8">
        <v>46000</v>
      </c>
      <c r="L62" s="8">
        <v>0</v>
      </c>
      <c r="M62" s="8">
        <v>0</v>
      </c>
      <c r="N62" s="8">
        <v>0</v>
      </c>
      <c r="O62" s="8">
        <v>46000</v>
      </c>
      <c r="P62" s="74">
        <f>E62+J62</f>
        <v>8343992</v>
      </c>
    </row>
    <row r="63" spans="1:16" ht="31.5" x14ac:dyDescent="0.25">
      <c r="A63" s="737" t="s">
        <v>73</v>
      </c>
      <c r="B63" s="739" t="s">
        <v>74</v>
      </c>
      <c r="C63" s="739" t="s">
        <v>75</v>
      </c>
      <c r="D63" s="30" t="s">
        <v>76</v>
      </c>
      <c r="E63" s="49">
        <f t="shared" ref="E63:E72" si="19">F63+I63</f>
        <v>12750</v>
      </c>
      <c r="F63" s="49">
        <v>12750</v>
      </c>
      <c r="G63" s="49">
        <v>0</v>
      </c>
      <c r="H63" s="49">
        <v>0</v>
      </c>
      <c r="I63" s="8">
        <v>0</v>
      </c>
      <c r="J63" s="8">
        <f t="shared" ref="J63:J71" si="20">L63+O63</f>
        <v>0</v>
      </c>
      <c r="K63" s="8">
        <v>0</v>
      </c>
      <c r="L63" s="8">
        <v>0</v>
      </c>
      <c r="M63" s="8">
        <v>0</v>
      </c>
      <c r="N63" s="8">
        <v>0</v>
      </c>
      <c r="O63" s="8">
        <v>0</v>
      </c>
      <c r="P63" s="74">
        <f t="shared" ref="P63:P139" si="21">E63+J63</f>
        <v>12750</v>
      </c>
    </row>
    <row r="64" spans="1:16" ht="31.5" x14ac:dyDescent="0.25">
      <c r="A64" s="737" t="s">
        <v>77</v>
      </c>
      <c r="B64" s="739" t="s">
        <v>78</v>
      </c>
      <c r="C64" s="739" t="s">
        <v>56</v>
      </c>
      <c r="D64" s="30" t="s">
        <v>79</v>
      </c>
      <c r="E64" s="49">
        <f t="shared" si="19"/>
        <v>8400</v>
      </c>
      <c r="F64" s="49">
        <v>8400</v>
      </c>
      <c r="G64" s="49">
        <v>0</v>
      </c>
      <c r="H64" s="49">
        <v>0</v>
      </c>
      <c r="I64" s="8">
        <v>0</v>
      </c>
      <c r="J64" s="8">
        <f t="shared" si="20"/>
        <v>0</v>
      </c>
      <c r="K64" s="8">
        <v>0</v>
      </c>
      <c r="L64" s="8">
        <v>0</v>
      </c>
      <c r="M64" s="8">
        <v>0</v>
      </c>
      <c r="N64" s="8">
        <v>0</v>
      </c>
      <c r="O64" s="8">
        <v>0</v>
      </c>
      <c r="P64" s="74">
        <f t="shared" si="21"/>
        <v>8400</v>
      </c>
    </row>
    <row r="65" spans="1:16" ht="31.5" x14ac:dyDescent="0.25">
      <c r="A65" s="737" t="s">
        <v>189</v>
      </c>
      <c r="B65" s="739" t="s">
        <v>190</v>
      </c>
      <c r="C65" s="739" t="s">
        <v>48</v>
      </c>
      <c r="D65" s="30" t="s">
        <v>191</v>
      </c>
      <c r="E65" s="49">
        <f t="shared" si="19"/>
        <v>4376131</v>
      </c>
      <c r="F65" s="49">
        <f>4324257+51874</f>
        <v>4376131</v>
      </c>
      <c r="G65" s="49">
        <v>4118841</v>
      </c>
      <c r="H65" s="49">
        <v>88416</v>
      </c>
      <c r="I65" s="8">
        <v>0</v>
      </c>
      <c r="J65" s="8">
        <f t="shared" si="20"/>
        <v>80500</v>
      </c>
      <c r="K65" s="8">
        <v>80500</v>
      </c>
      <c r="L65" s="8">
        <v>0</v>
      </c>
      <c r="M65" s="8">
        <v>0</v>
      </c>
      <c r="N65" s="8">
        <v>0</v>
      </c>
      <c r="O65" s="8">
        <v>80500</v>
      </c>
      <c r="P65" s="74">
        <f t="shared" si="21"/>
        <v>4456631</v>
      </c>
    </row>
    <row r="66" spans="1:16" ht="47.25" x14ac:dyDescent="0.25">
      <c r="A66" s="97" t="s">
        <v>267</v>
      </c>
      <c r="B66" s="38" t="s">
        <v>268</v>
      </c>
      <c r="C66" s="736" t="s">
        <v>56</v>
      </c>
      <c r="D66" s="11" t="s">
        <v>269</v>
      </c>
      <c r="E66" s="49">
        <f t="shared" si="19"/>
        <v>28193</v>
      </c>
      <c r="F66" s="49">
        <v>28193</v>
      </c>
      <c r="G66" s="49"/>
      <c r="H66" s="49"/>
      <c r="I66" s="8"/>
      <c r="J66" s="8"/>
      <c r="K66" s="8"/>
      <c r="L66" s="8"/>
      <c r="M66" s="8"/>
      <c r="N66" s="8"/>
      <c r="O66" s="8"/>
      <c r="P66" s="74">
        <f t="shared" si="21"/>
        <v>28193</v>
      </c>
    </row>
    <row r="67" spans="1:16" ht="31.5" x14ac:dyDescent="0.25">
      <c r="A67" s="97" t="s">
        <v>270</v>
      </c>
      <c r="B67" s="38" t="s">
        <v>271</v>
      </c>
      <c r="C67" s="38" t="s">
        <v>75</v>
      </c>
      <c r="D67" s="39" t="s">
        <v>272</v>
      </c>
      <c r="E67" s="49">
        <f t="shared" si="19"/>
        <v>91319</v>
      </c>
      <c r="F67" s="49">
        <v>91319</v>
      </c>
      <c r="G67" s="49"/>
      <c r="H67" s="49"/>
      <c r="I67" s="8"/>
      <c r="J67" s="8"/>
      <c r="K67" s="8"/>
      <c r="L67" s="8"/>
      <c r="M67" s="8"/>
      <c r="N67" s="8"/>
      <c r="O67" s="8"/>
      <c r="P67" s="74">
        <f t="shared" si="21"/>
        <v>91319</v>
      </c>
    </row>
    <row r="68" spans="1:16" ht="94.5" x14ac:dyDescent="0.25">
      <c r="A68" s="737" t="s">
        <v>192</v>
      </c>
      <c r="B68" s="739" t="s">
        <v>193</v>
      </c>
      <c r="C68" s="739" t="s">
        <v>48</v>
      </c>
      <c r="D68" s="30" t="s">
        <v>194</v>
      </c>
      <c r="E68" s="49">
        <f t="shared" si="19"/>
        <v>230280</v>
      </c>
      <c r="F68" s="49">
        <v>230280</v>
      </c>
      <c r="G68" s="49">
        <v>0</v>
      </c>
      <c r="H68" s="49">
        <v>0</v>
      </c>
      <c r="I68" s="8">
        <v>0</v>
      </c>
      <c r="J68" s="8">
        <f t="shared" si="20"/>
        <v>0</v>
      </c>
      <c r="K68" s="8">
        <v>0</v>
      </c>
      <c r="L68" s="8">
        <v>0</v>
      </c>
      <c r="M68" s="8">
        <v>0</v>
      </c>
      <c r="N68" s="8">
        <v>0</v>
      </c>
      <c r="O68" s="8">
        <v>0</v>
      </c>
      <c r="P68" s="74">
        <f t="shared" si="21"/>
        <v>230280</v>
      </c>
    </row>
    <row r="69" spans="1:16" ht="63" x14ac:dyDescent="0.25">
      <c r="A69" s="97" t="s">
        <v>273</v>
      </c>
      <c r="B69" s="38" t="s">
        <v>274</v>
      </c>
      <c r="C69" s="38" t="s">
        <v>48</v>
      </c>
      <c r="D69" s="98" t="s">
        <v>275</v>
      </c>
      <c r="E69" s="49">
        <f t="shared" si="19"/>
        <v>17623</v>
      </c>
      <c r="F69" s="49">
        <v>17623</v>
      </c>
      <c r="G69" s="49"/>
      <c r="H69" s="49"/>
      <c r="I69" s="8"/>
      <c r="J69" s="8"/>
      <c r="K69" s="8"/>
      <c r="L69" s="8"/>
      <c r="M69" s="8"/>
      <c r="N69" s="8"/>
      <c r="O69" s="8"/>
      <c r="P69" s="74">
        <f t="shared" si="21"/>
        <v>17623</v>
      </c>
    </row>
    <row r="70" spans="1:16" ht="362.25" x14ac:dyDescent="0.25">
      <c r="A70" s="455" t="s">
        <v>592</v>
      </c>
      <c r="B70" s="456" t="s">
        <v>593</v>
      </c>
      <c r="C70" s="456" t="s">
        <v>594</v>
      </c>
      <c r="D70" s="457" t="s">
        <v>595</v>
      </c>
      <c r="E70" s="49">
        <f t="shared" si="19"/>
        <v>0</v>
      </c>
      <c r="F70" s="49"/>
      <c r="G70" s="49"/>
      <c r="H70" s="49"/>
      <c r="I70" s="8"/>
      <c r="J70" s="8">
        <f>L70+O70</f>
        <v>2164782</v>
      </c>
      <c r="K70" s="8">
        <v>2164782</v>
      </c>
      <c r="L70" s="8"/>
      <c r="M70" s="8"/>
      <c r="N70" s="8"/>
      <c r="O70" s="8">
        <v>2164782</v>
      </c>
      <c r="P70" s="74">
        <f t="shared" si="21"/>
        <v>2164782</v>
      </c>
    </row>
    <row r="71" spans="1:16" ht="47.25" x14ac:dyDescent="0.25">
      <c r="A71" s="737" t="s">
        <v>195</v>
      </c>
      <c r="B71" s="739" t="s">
        <v>196</v>
      </c>
      <c r="C71" s="739" t="s">
        <v>80</v>
      </c>
      <c r="D71" s="30" t="s">
        <v>197</v>
      </c>
      <c r="E71" s="49">
        <f t="shared" si="19"/>
        <v>6023586</v>
      </c>
      <c r="F71" s="49">
        <v>6023586</v>
      </c>
      <c r="G71" s="49">
        <v>5725115</v>
      </c>
      <c r="H71" s="49">
        <v>100756</v>
      </c>
      <c r="I71" s="8">
        <v>0</v>
      </c>
      <c r="J71" s="8">
        <f t="shared" si="20"/>
        <v>13000</v>
      </c>
      <c r="K71" s="8"/>
      <c r="L71" s="8">
        <v>13000</v>
      </c>
      <c r="M71" s="8">
        <v>0</v>
      </c>
      <c r="N71" s="8">
        <v>0</v>
      </c>
      <c r="O71" s="8"/>
      <c r="P71" s="74">
        <f>E71+J71</f>
        <v>6036586</v>
      </c>
    </row>
    <row r="72" spans="1:16" ht="32.25" thickBot="1" x14ac:dyDescent="0.3">
      <c r="A72" s="738" t="s">
        <v>81</v>
      </c>
      <c r="B72" s="740" t="s">
        <v>82</v>
      </c>
      <c r="C72" s="740" t="s">
        <v>80</v>
      </c>
      <c r="D72" s="48" t="s">
        <v>83</v>
      </c>
      <c r="E72" s="53">
        <f t="shared" si="19"/>
        <v>21507900</v>
      </c>
      <c r="F72" s="53">
        <f>18407900+1500000+1600000</f>
        <v>21507900</v>
      </c>
      <c r="G72" s="53">
        <v>0</v>
      </c>
      <c r="H72" s="53">
        <v>0</v>
      </c>
      <c r="I72" s="36">
        <v>0</v>
      </c>
      <c r="J72" s="36">
        <f>L72+O72</f>
        <v>0</v>
      </c>
      <c r="K72" s="36">
        <v>0</v>
      </c>
      <c r="L72" s="36">
        <v>0</v>
      </c>
      <c r="M72" s="36">
        <v>0</v>
      </c>
      <c r="N72" s="36">
        <v>0</v>
      </c>
      <c r="O72" s="36">
        <v>0</v>
      </c>
      <c r="P72" s="76">
        <f t="shared" si="21"/>
        <v>21507900</v>
      </c>
    </row>
    <row r="73" spans="1:16" ht="51.6" customHeight="1" thickBot="1" x14ac:dyDescent="0.3">
      <c r="A73" s="43" t="s">
        <v>84</v>
      </c>
      <c r="B73" s="44" t="s">
        <v>16</v>
      </c>
      <c r="C73" s="44" t="s">
        <v>16</v>
      </c>
      <c r="D73" s="45" t="s">
        <v>85</v>
      </c>
      <c r="E73" s="71">
        <f>E74</f>
        <v>1997047</v>
      </c>
      <c r="F73" s="71">
        <f>F74</f>
        <v>1997047</v>
      </c>
      <c r="G73" s="71">
        <f t="shared" ref="G73:I73" si="22">G74</f>
        <v>1919735</v>
      </c>
      <c r="H73" s="71">
        <f t="shared" si="22"/>
        <v>0</v>
      </c>
      <c r="I73" s="71">
        <f t="shared" si="22"/>
        <v>0</v>
      </c>
      <c r="J73" s="71">
        <f>J74</f>
        <v>0</v>
      </c>
      <c r="K73" s="71">
        <f>K74</f>
        <v>0</v>
      </c>
      <c r="L73" s="71">
        <f t="shared" ref="L73:O73" si="23">L74</f>
        <v>0</v>
      </c>
      <c r="M73" s="71">
        <f t="shared" si="23"/>
        <v>0</v>
      </c>
      <c r="N73" s="71">
        <f t="shared" si="23"/>
        <v>0</v>
      </c>
      <c r="O73" s="71">
        <f t="shared" si="23"/>
        <v>0</v>
      </c>
      <c r="P73" s="72">
        <f t="shared" si="21"/>
        <v>1997047</v>
      </c>
    </row>
    <row r="74" spans="1:16" ht="31.5" x14ac:dyDescent="0.25">
      <c r="A74" s="63" t="s">
        <v>86</v>
      </c>
      <c r="B74" s="64" t="s">
        <v>16</v>
      </c>
      <c r="C74" s="64" t="s">
        <v>16</v>
      </c>
      <c r="D74" s="65" t="s">
        <v>85</v>
      </c>
      <c r="E74" s="51">
        <f>E75+E76</f>
        <v>1997047</v>
      </c>
      <c r="F74" s="51">
        <f>F75+F76</f>
        <v>1997047</v>
      </c>
      <c r="G74" s="51">
        <f t="shared" ref="G74:I74" si="24">G75+G76</f>
        <v>1919735</v>
      </c>
      <c r="H74" s="51">
        <f t="shared" si="24"/>
        <v>0</v>
      </c>
      <c r="I74" s="51">
        <f t="shared" si="24"/>
        <v>0</v>
      </c>
      <c r="J74" s="51">
        <f>J75+J76</f>
        <v>0</v>
      </c>
      <c r="K74" s="51">
        <f>K75+K76</f>
        <v>0</v>
      </c>
      <c r="L74" s="51">
        <f t="shared" ref="L74:O74" si="25">L75+L76</f>
        <v>0</v>
      </c>
      <c r="M74" s="51">
        <f t="shared" si="25"/>
        <v>0</v>
      </c>
      <c r="N74" s="51">
        <f t="shared" si="25"/>
        <v>0</v>
      </c>
      <c r="O74" s="51">
        <f t="shared" si="25"/>
        <v>0</v>
      </c>
      <c r="P74" s="73">
        <f t="shared" si="21"/>
        <v>1997047</v>
      </c>
    </row>
    <row r="75" spans="1:16" ht="47.25" x14ac:dyDescent="0.25">
      <c r="A75" s="737" t="s">
        <v>198</v>
      </c>
      <c r="B75" s="739" t="s">
        <v>46</v>
      </c>
      <c r="C75" s="739" t="s">
        <v>19</v>
      </c>
      <c r="D75" s="30" t="s">
        <v>182</v>
      </c>
      <c r="E75" s="49">
        <f>F75+I75</f>
        <v>1965047</v>
      </c>
      <c r="F75" s="49">
        <f>1538613+426434</f>
        <v>1965047</v>
      </c>
      <c r="G75" s="49">
        <f>1493301+426434</f>
        <v>1919735</v>
      </c>
      <c r="H75" s="49">
        <v>0</v>
      </c>
      <c r="I75" s="8">
        <v>0</v>
      </c>
      <c r="J75" s="8">
        <f>L75+O75</f>
        <v>0</v>
      </c>
      <c r="K75" s="8">
        <v>0</v>
      </c>
      <c r="L75" s="8">
        <v>0</v>
      </c>
      <c r="M75" s="8">
        <v>0</v>
      </c>
      <c r="N75" s="8">
        <v>0</v>
      </c>
      <c r="O75" s="8">
        <v>0</v>
      </c>
      <c r="P75" s="74">
        <f t="shared" si="21"/>
        <v>1965047</v>
      </c>
    </row>
    <row r="76" spans="1:16" ht="32.25" thickBot="1" x14ac:dyDescent="0.3">
      <c r="A76" s="46" t="s">
        <v>87</v>
      </c>
      <c r="B76" s="47" t="s">
        <v>88</v>
      </c>
      <c r="C76" s="47" t="s">
        <v>69</v>
      </c>
      <c r="D76" s="42" t="s">
        <v>89</v>
      </c>
      <c r="E76" s="49">
        <f>F76+I76</f>
        <v>32000</v>
      </c>
      <c r="F76" s="50">
        <v>32000</v>
      </c>
      <c r="G76" s="50">
        <v>0</v>
      </c>
      <c r="H76" s="50">
        <v>0</v>
      </c>
      <c r="I76" s="14">
        <v>0</v>
      </c>
      <c r="J76" s="14">
        <f>L76+O76</f>
        <v>0</v>
      </c>
      <c r="K76" s="14">
        <v>0</v>
      </c>
      <c r="L76" s="14">
        <v>0</v>
      </c>
      <c r="M76" s="14">
        <v>0</v>
      </c>
      <c r="N76" s="14">
        <v>0</v>
      </c>
      <c r="O76" s="14">
        <v>0</v>
      </c>
      <c r="P76" s="75">
        <f t="shared" si="21"/>
        <v>32000</v>
      </c>
    </row>
    <row r="77" spans="1:16" s="35" customFormat="1" ht="64.5" customHeight="1" thickBot="1" x14ac:dyDescent="0.3">
      <c r="A77" s="43" t="s">
        <v>90</v>
      </c>
      <c r="B77" s="44" t="s">
        <v>16</v>
      </c>
      <c r="C77" s="44" t="s">
        <v>16</v>
      </c>
      <c r="D77" s="45" t="s">
        <v>91</v>
      </c>
      <c r="E77" s="71">
        <f>E78</f>
        <v>91597416</v>
      </c>
      <c r="F77" s="71">
        <f>F78</f>
        <v>91597416</v>
      </c>
      <c r="G77" s="71">
        <f t="shared" ref="G77:I77" si="26">G78</f>
        <v>50986950</v>
      </c>
      <c r="H77" s="71">
        <f t="shared" si="26"/>
        <v>6230466</v>
      </c>
      <c r="I77" s="71">
        <f t="shared" si="26"/>
        <v>0</v>
      </c>
      <c r="J77" s="71">
        <f>J78</f>
        <v>2729071</v>
      </c>
      <c r="K77" s="71">
        <f>K78</f>
        <v>1744299</v>
      </c>
      <c r="L77" s="71">
        <f t="shared" ref="L77:O77" si="27">L78</f>
        <v>984772</v>
      </c>
      <c r="M77" s="71">
        <f t="shared" si="27"/>
        <v>850986</v>
      </c>
      <c r="N77" s="71">
        <f t="shared" si="27"/>
        <v>0</v>
      </c>
      <c r="O77" s="71">
        <f t="shared" si="27"/>
        <v>1744299</v>
      </c>
      <c r="P77" s="72">
        <f t="shared" si="21"/>
        <v>94326487</v>
      </c>
    </row>
    <row r="78" spans="1:16" s="34" customFormat="1" ht="47.25" x14ac:dyDescent="0.25">
      <c r="A78" s="63" t="s">
        <v>92</v>
      </c>
      <c r="B78" s="64" t="s">
        <v>16</v>
      </c>
      <c r="C78" s="64" t="s">
        <v>16</v>
      </c>
      <c r="D78" s="65" t="s">
        <v>91</v>
      </c>
      <c r="E78" s="51">
        <f>E79+E80+E81+E82+E83+E84+E85+E86+E87+E88+E89+E91+E92+E93+E90</f>
        <v>91597416</v>
      </c>
      <c r="F78" s="51">
        <f>F79+F80+F81+F82+F83+F84+F85+F86+F87+F88+F89+F91+F92+F93+F90</f>
        <v>91597416</v>
      </c>
      <c r="G78" s="51">
        <f>G79+G80+G81+G82+G83+G84+G85+G86+G87+G88+G89+G91+G92+G93+G90</f>
        <v>50986950</v>
      </c>
      <c r="H78" s="51">
        <f>H79+H80+H81+H82+H83+H84+H85+H86+H87+H88+H89+H91+H92+H93</f>
        <v>6230466</v>
      </c>
      <c r="I78" s="51">
        <f t="shared" ref="I78" si="28">I79+I80+I81+I82+I83+I84+I85+I86+I87+I88+I89+I91+I92+I93</f>
        <v>0</v>
      </c>
      <c r="J78" s="51">
        <f>J79+J80+J81+J82+J83+J84+J85+J86+J87+J88+J89+J91+J92+J93</f>
        <v>2729071</v>
      </c>
      <c r="K78" s="51">
        <f t="shared" ref="K78:L78" si="29">K79+K80+K81+K82+K83+K84+K85+K86+K87+K88+K89+K91+K92+K93</f>
        <v>1744299</v>
      </c>
      <c r="L78" s="51">
        <f t="shared" si="29"/>
        <v>984772</v>
      </c>
      <c r="M78" s="51">
        <f>M79+M80+M81+M82+M83+M84+M85+M86+M87+M88+M89+M91+M92+M93</f>
        <v>850986</v>
      </c>
      <c r="N78" s="51">
        <f t="shared" ref="N78" si="30">N79+N80+N81+N82+N83+N84+N85+N86+N87+N88+N89+N91+N92+N93</f>
        <v>0</v>
      </c>
      <c r="O78" s="51">
        <f>O79+O80+O81+O82+O83+O84+O85+O86+O87+O88+O89+O91+O92+O93</f>
        <v>1744299</v>
      </c>
      <c r="P78" s="73">
        <f>P79+P80+P81+P82+P83+P84+P85+P86+P87+P88+P89+P91+P92+P93+P90</f>
        <v>94326487</v>
      </c>
    </row>
    <row r="79" spans="1:16" ht="50.25" customHeight="1" x14ac:dyDescent="0.25">
      <c r="A79" s="737" t="s">
        <v>199</v>
      </c>
      <c r="B79" s="739" t="s">
        <v>46</v>
      </c>
      <c r="C79" s="739" t="s">
        <v>19</v>
      </c>
      <c r="D79" s="30" t="s">
        <v>182</v>
      </c>
      <c r="E79" s="49">
        <f>F79+I79</f>
        <v>2735743</v>
      </c>
      <c r="F79" s="49">
        <f>2310745+424998</f>
        <v>2735743</v>
      </c>
      <c r="G79" s="49">
        <f>2259433+424998</f>
        <v>2684431</v>
      </c>
      <c r="H79" s="49">
        <v>0</v>
      </c>
      <c r="I79" s="8">
        <v>0</v>
      </c>
      <c r="J79" s="8">
        <f>L79+O79</f>
        <v>0</v>
      </c>
      <c r="K79" s="8">
        <v>0</v>
      </c>
      <c r="L79" s="8">
        <v>0</v>
      </c>
      <c r="M79" s="8">
        <v>0</v>
      </c>
      <c r="N79" s="8">
        <v>0</v>
      </c>
      <c r="O79" s="8">
        <v>0</v>
      </c>
      <c r="P79" s="74">
        <f t="shared" si="21"/>
        <v>2735743</v>
      </c>
    </row>
    <row r="80" spans="1:16" ht="31.5" x14ac:dyDescent="0.25">
      <c r="A80" s="737" t="s">
        <v>93</v>
      </c>
      <c r="B80" s="739" t="s">
        <v>94</v>
      </c>
      <c r="C80" s="739" t="s">
        <v>57</v>
      </c>
      <c r="D80" s="30" t="s">
        <v>95</v>
      </c>
      <c r="E80" s="49">
        <f t="shared" ref="E80:E93" si="31">F80+I80</f>
        <v>14795535</v>
      </c>
      <c r="F80" s="49">
        <v>14795535</v>
      </c>
      <c r="G80" s="49">
        <v>14259107</v>
      </c>
      <c r="H80" s="49">
        <v>410204</v>
      </c>
      <c r="I80" s="8">
        <v>0</v>
      </c>
      <c r="J80" s="8">
        <f t="shared" ref="J80:J93" si="32">L80+O80</f>
        <v>877986</v>
      </c>
      <c r="K80" s="8">
        <f>O80</f>
        <v>27000</v>
      </c>
      <c r="L80" s="8">
        <v>850986</v>
      </c>
      <c r="M80" s="8">
        <v>850986</v>
      </c>
      <c r="N80" s="8">
        <v>0</v>
      </c>
      <c r="O80" s="8">
        <v>27000</v>
      </c>
      <c r="P80" s="74">
        <f t="shared" si="21"/>
        <v>15673521</v>
      </c>
    </row>
    <row r="81" spans="1:16" x14ac:dyDescent="0.25">
      <c r="A81" s="737" t="s">
        <v>96</v>
      </c>
      <c r="B81" s="739" t="s">
        <v>97</v>
      </c>
      <c r="C81" s="739" t="s">
        <v>69</v>
      </c>
      <c r="D81" s="30" t="s">
        <v>98</v>
      </c>
      <c r="E81" s="49">
        <f t="shared" si="31"/>
        <v>240526</v>
      </c>
      <c r="F81" s="49">
        <v>240526</v>
      </c>
      <c r="G81" s="49">
        <v>0</v>
      </c>
      <c r="H81" s="49">
        <v>0</v>
      </c>
      <c r="I81" s="8">
        <v>0</v>
      </c>
      <c r="J81" s="8">
        <f t="shared" si="32"/>
        <v>0</v>
      </c>
      <c r="K81" s="8">
        <v>0</v>
      </c>
      <c r="L81" s="8">
        <v>0</v>
      </c>
      <c r="M81" s="8">
        <v>0</v>
      </c>
      <c r="N81" s="8">
        <v>0</v>
      </c>
      <c r="O81" s="8">
        <v>0</v>
      </c>
      <c r="P81" s="74">
        <f t="shared" si="21"/>
        <v>240526</v>
      </c>
    </row>
    <row r="82" spans="1:16" ht="21.75" customHeight="1" x14ac:dyDescent="0.25">
      <c r="A82" s="737" t="s">
        <v>99</v>
      </c>
      <c r="B82" s="739" t="s">
        <v>100</v>
      </c>
      <c r="C82" s="739" t="s">
        <v>101</v>
      </c>
      <c r="D82" s="30" t="s">
        <v>102</v>
      </c>
      <c r="E82" s="49">
        <f t="shared" si="31"/>
        <v>4819279</v>
      </c>
      <c r="F82" s="49">
        <f>4760466+58813</f>
        <v>4819279</v>
      </c>
      <c r="G82" s="49">
        <v>4315718</v>
      </c>
      <c r="H82" s="49">
        <f>246246+58813</f>
        <v>305059</v>
      </c>
      <c r="I82" s="8">
        <v>0</v>
      </c>
      <c r="J82" s="8">
        <f t="shared" si="32"/>
        <v>50000</v>
      </c>
      <c r="K82" s="8">
        <f t="shared" ref="K82:K83" si="33">O82</f>
        <v>50000</v>
      </c>
      <c r="L82" s="8">
        <v>0</v>
      </c>
      <c r="M82" s="8">
        <v>0</v>
      </c>
      <c r="N82" s="8">
        <v>0</v>
      </c>
      <c r="O82" s="8">
        <v>50000</v>
      </c>
      <c r="P82" s="74">
        <f t="shared" si="21"/>
        <v>4869279</v>
      </c>
    </row>
    <row r="83" spans="1:16" ht="19.5" customHeight="1" x14ac:dyDescent="0.25">
      <c r="A83" s="737" t="s">
        <v>103</v>
      </c>
      <c r="B83" s="739" t="s">
        <v>104</v>
      </c>
      <c r="C83" s="739" t="s">
        <v>101</v>
      </c>
      <c r="D83" s="30" t="s">
        <v>105</v>
      </c>
      <c r="E83" s="49">
        <f t="shared" si="31"/>
        <v>1300972</v>
      </c>
      <c r="F83" s="49">
        <f>1287949+13023</f>
        <v>1300972</v>
      </c>
      <c r="G83" s="49">
        <v>1112147</v>
      </c>
      <c r="H83" s="49">
        <f>94304+13023</f>
        <v>107327</v>
      </c>
      <c r="I83" s="8">
        <v>0</v>
      </c>
      <c r="J83" s="8">
        <f t="shared" si="32"/>
        <v>50299</v>
      </c>
      <c r="K83" s="8">
        <f t="shared" si="33"/>
        <v>50299</v>
      </c>
      <c r="L83" s="8">
        <v>0</v>
      </c>
      <c r="M83" s="8">
        <v>0</v>
      </c>
      <c r="N83" s="8">
        <v>0</v>
      </c>
      <c r="O83" s="8">
        <v>50299</v>
      </c>
      <c r="P83" s="74">
        <f t="shared" si="21"/>
        <v>1351271</v>
      </c>
    </row>
    <row r="84" spans="1:16" ht="45.75" customHeight="1" x14ac:dyDescent="0.25">
      <c r="A84" s="737" t="s">
        <v>106</v>
      </c>
      <c r="B84" s="739" t="s">
        <v>107</v>
      </c>
      <c r="C84" s="739" t="s">
        <v>108</v>
      </c>
      <c r="D84" s="30" t="s">
        <v>109</v>
      </c>
      <c r="E84" s="49">
        <f t="shared" si="31"/>
        <v>23095620</v>
      </c>
      <c r="F84" s="49">
        <f>23959997-23550-1027554+186727-367168-80776+447944-19600+19600</f>
        <v>23095620</v>
      </c>
      <c r="G84" s="49">
        <f>18713009-1027554-367168-80776</f>
        <v>17237511</v>
      </c>
      <c r="H84" s="49">
        <f>4152748-23550+69155+447944+19600</f>
        <v>4665897</v>
      </c>
      <c r="I84" s="8">
        <v>0</v>
      </c>
      <c r="J84" s="8">
        <f t="shared" si="32"/>
        <v>133786</v>
      </c>
      <c r="K84" s="8">
        <v>0</v>
      </c>
      <c r="L84" s="8">
        <v>133786</v>
      </c>
      <c r="M84" s="8">
        <v>0</v>
      </c>
      <c r="N84" s="8">
        <v>0</v>
      </c>
      <c r="O84" s="8">
        <v>0</v>
      </c>
      <c r="P84" s="74">
        <f t="shared" si="21"/>
        <v>23229406</v>
      </c>
    </row>
    <row r="85" spans="1:16" ht="31.5" x14ac:dyDescent="0.25">
      <c r="A85" s="737" t="s">
        <v>200</v>
      </c>
      <c r="B85" s="739" t="s">
        <v>201</v>
      </c>
      <c r="C85" s="739" t="s">
        <v>110</v>
      </c>
      <c r="D85" s="30" t="s">
        <v>202</v>
      </c>
      <c r="E85" s="49">
        <f t="shared" si="31"/>
        <v>1826056</v>
      </c>
      <c r="F85" s="49">
        <v>1826056</v>
      </c>
      <c r="G85" s="49">
        <v>1735698</v>
      </c>
      <c r="H85" s="49">
        <v>0</v>
      </c>
      <c r="I85" s="8">
        <v>0</v>
      </c>
      <c r="J85" s="8">
        <f t="shared" si="32"/>
        <v>23000</v>
      </c>
      <c r="K85" s="8">
        <f>O85</f>
        <v>23000</v>
      </c>
      <c r="L85" s="8">
        <v>0</v>
      </c>
      <c r="M85" s="8">
        <v>0</v>
      </c>
      <c r="N85" s="8">
        <v>0</v>
      </c>
      <c r="O85" s="8">
        <v>23000</v>
      </c>
      <c r="P85" s="74">
        <f t="shared" si="21"/>
        <v>1849056</v>
      </c>
    </row>
    <row r="86" spans="1:16" x14ac:dyDescent="0.25">
      <c r="A86" s="737" t="s">
        <v>111</v>
      </c>
      <c r="B86" s="739" t="s">
        <v>112</v>
      </c>
      <c r="C86" s="739" t="s">
        <v>110</v>
      </c>
      <c r="D86" s="30" t="s">
        <v>113</v>
      </c>
      <c r="E86" s="49">
        <f t="shared" si="31"/>
        <v>194000</v>
      </c>
      <c r="F86" s="49">
        <v>194000</v>
      </c>
      <c r="G86" s="49">
        <v>0</v>
      </c>
      <c r="H86" s="49">
        <v>0</v>
      </c>
      <c r="I86" s="8">
        <v>0</v>
      </c>
      <c r="J86" s="8">
        <f t="shared" si="32"/>
        <v>0</v>
      </c>
      <c r="K86" s="8">
        <v>0</v>
      </c>
      <c r="L86" s="8">
        <v>0</v>
      </c>
      <c r="M86" s="8">
        <v>0</v>
      </c>
      <c r="N86" s="8">
        <v>0</v>
      </c>
      <c r="O86" s="8">
        <v>0</v>
      </c>
      <c r="P86" s="74">
        <f t="shared" si="21"/>
        <v>194000</v>
      </c>
    </row>
    <row r="87" spans="1:16" ht="31.5" x14ac:dyDescent="0.25">
      <c r="A87" s="737" t="s">
        <v>114</v>
      </c>
      <c r="B87" s="739" t="s">
        <v>115</v>
      </c>
      <c r="C87" s="739" t="s">
        <v>116</v>
      </c>
      <c r="D87" s="30" t="s">
        <v>117</v>
      </c>
      <c r="E87" s="49">
        <f t="shared" si="31"/>
        <v>32750</v>
      </c>
      <c r="F87" s="49">
        <v>32750</v>
      </c>
      <c r="G87" s="49">
        <v>0</v>
      </c>
      <c r="H87" s="49">
        <v>0</v>
      </c>
      <c r="I87" s="8">
        <v>0</v>
      </c>
      <c r="J87" s="8">
        <f t="shared" si="32"/>
        <v>0</v>
      </c>
      <c r="K87" s="8">
        <v>0</v>
      </c>
      <c r="L87" s="8">
        <v>0</v>
      </c>
      <c r="M87" s="8">
        <v>0</v>
      </c>
      <c r="N87" s="8">
        <v>0</v>
      </c>
      <c r="O87" s="8">
        <v>0</v>
      </c>
      <c r="P87" s="74">
        <f t="shared" si="21"/>
        <v>32750</v>
      </c>
    </row>
    <row r="88" spans="1:16" ht="47.25" x14ac:dyDescent="0.25">
      <c r="A88" s="737" t="s">
        <v>118</v>
      </c>
      <c r="B88" s="739" t="s">
        <v>119</v>
      </c>
      <c r="C88" s="739" t="s">
        <v>116</v>
      </c>
      <c r="D88" s="30" t="s">
        <v>120</v>
      </c>
      <c r="E88" s="49">
        <f t="shared" si="31"/>
        <v>8128835</v>
      </c>
      <c r="F88" s="49">
        <f>8007751+500000+162399-469479-119304-26247+73715</f>
        <v>8128835</v>
      </c>
      <c r="G88" s="49">
        <f>6310703-469479-119304-26247</f>
        <v>5695673</v>
      </c>
      <c r="H88" s="49">
        <f>452628+73715</f>
        <v>526343</v>
      </c>
      <c r="I88" s="8">
        <v>0</v>
      </c>
      <c r="J88" s="8">
        <f t="shared" si="32"/>
        <v>0</v>
      </c>
      <c r="K88" s="8">
        <v>0</v>
      </c>
      <c r="L88" s="8">
        <v>0</v>
      </c>
      <c r="M88" s="8">
        <v>0</v>
      </c>
      <c r="N88" s="8">
        <v>0</v>
      </c>
      <c r="O88" s="8">
        <v>0</v>
      </c>
      <c r="P88" s="74">
        <f t="shared" si="21"/>
        <v>8128835</v>
      </c>
    </row>
    <row r="89" spans="1:16" ht="31.5" x14ac:dyDescent="0.25">
      <c r="A89" s="737" t="s">
        <v>203</v>
      </c>
      <c r="B89" s="739" t="s">
        <v>204</v>
      </c>
      <c r="C89" s="739" t="s">
        <v>116</v>
      </c>
      <c r="D89" s="30" t="s">
        <v>161</v>
      </c>
      <c r="E89" s="49">
        <f t="shared" si="31"/>
        <v>28448040</v>
      </c>
      <c r="F89" s="49">
        <f>25268036+3180004</f>
        <v>28448040</v>
      </c>
      <c r="G89" s="49">
        <v>0</v>
      </c>
      <c r="H89" s="49">
        <v>0</v>
      </c>
      <c r="I89" s="8">
        <v>0</v>
      </c>
      <c r="J89" s="8">
        <f>L89+O89</f>
        <v>1594000</v>
      </c>
      <c r="K89" s="8">
        <f>0+1594000</f>
        <v>1594000</v>
      </c>
      <c r="L89" s="8">
        <v>0</v>
      </c>
      <c r="M89" s="8">
        <v>0</v>
      </c>
      <c r="N89" s="8">
        <v>0</v>
      </c>
      <c r="O89" s="8">
        <v>1594000</v>
      </c>
      <c r="P89" s="74">
        <f>E89+J89</f>
        <v>30042040</v>
      </c>
    </row>
    <row r="90" spans="1:16" ht="47.25" x14ac:dyDescent="0.25">
      <c r="A90" s="737">
        <v>1015049</v>
      </c>
      <c r="B90" s="739">
        <v>5049</v>
      </c>
      <c r="C90" s="69" t="s">
        <v>116</v>
      </c>
      <c r="D90" s="30" t="s">
        <v>484</v>
      </c>
      <c r="E90" s="49">
        <f t="shared" si="31"/>
        <v>166311</v>
      </c>
      <c r="F90" s="49">
        <v>166311</v>
      </c>
      <c r="G90" s="49">
        <v>166311</v>
      </c>
      <c r="H90" s="49"/>
      <c r="I90" s="8"/>
      <c r="J90" s="8"/>
      <c r="K90" s="8"/>
      <c r="L90" s="8"/>
      <c r="M90" s="8"/>
      <c r="N90" s="8"/>
      <c r="O90" s="8"/>
      <c r="P90" s="74">
        <f t="shared" si="21"/>
        <v>166311</v>
      </c>
    </row>
    <row r="91" spans="1:16" ht="69.75" customHeight="1" x14ac:dyDescent="0.25">
      <c r="A91" s="737" t="s">
        <v>121</v>
      </c>
      <c r="B91" s="739" t="s">
        <v>122</v>
      </c>
      <c r="C91" s="739" t="s">
        <v>116</v>
      </c>
      <c r="D91" s="30" t="s">
        <v>123</v>
      </c>
      <c r="E91" s="49">
        <f t="shared" si="31"/>
        <v>5273449</v>
      </c>
      <c r="F91" s="49">
        <f>5129899+143550</f>
        <v>5273449</v>
      </c>
      <c r="G91" s="49">
        <v>3780354</v>
      </c>
      <c r="H91" s="49">
        <v>114836</v>
      </c>
      <c r="I91" s="8">
        <v>0</v>
      </c>
      <c r="J91" s="8">
        <f t="shared" si="32"/>
        <v>0</v>
      </c>
      <c r="K91" s="8">
        <v>0</v>
      </c>
      <c r="L91" s="8">
        <v>0</v>
      </c>
      <c r="M91" s="8">
        <v>0</v>
      </c>
      <c r="N91" s="8">
        <v>0</v>
      </c>
      <c r="O91" s="8">
        <v>0</v>
      </c>
      <c r="P91" s="74">
        <f t="shared" si="21"/>
        <v>5273449</v>
      </c>
    </row>
    <row r="92" spans="1:16" ht="57" customHeight="1" x14ac:dyDescent="0.25">
      <c r="A92" s="737" t="s">
        <v>124</v>
      </c>
      <c r="B92" s="739" t="s">
        <v>125</v>
      </c>
      <c r="C92" s="739" t="s">
        <v>116</v>
      </c>
      <c r="D92" s="30" t="s">
        <v>126</v>
      </c>
      <c r="E92" s="49">
        <f t="shared" si="31"/>
        <v>438000</v>
      </c>
      <c r="F92" s="49">
        <f>558000-120000</f>
        <v>438000</v>
      </c>
      <c r="G92" s="49">
        <v>0</v>
      </c>
      <c r="H92" s="49">
        <v>0</v>
      </c>
      <c r="I92" s="8">
        <v>0</v>
      </c>
      <c r="J92" s="8">
        <f t="shared" si="32"/>
        <v>0</v>
      </c>
      <c r="K92" s="8">
        <v>0</v>
      </c>
      <c r="L92" s="8">
        <v>0</v>
      </c>
      <c r="M92" s="8">
        <v>0</v>
      </c>
      <c r="N92" s="8">
        <v>0</v>
      </c>
      <c r="O92" s="8">
        <v>0</v>
      </c>
      <c r="P92" s="74">
        <f t="shared" si="21"/>
        <v>438000</v>
      </c>
    </row>
    <row r="93" spans="1:16" ht="48" thickBot="1" x14ac:dyDescent="0.3">
      <c r="A93" s="77">
        <v>1018110</v>
      </c>
      <c r="B93" s="78">
        <v>8110</v>
      </c>
      <c r="C93" s="79" t="s">
        <v>239</v>
      </c>
      <c r="D93" s="80" t="s">
        <v>240</v>
      </c>
      <c r="E93" s="741">
        <f t="shared" si="31"/>
        <v>102300</v>
      </c>
      <c r="F93" s="741">
        <f>102300-100800+100800</f>
        <v>102300</v>
      </c>
      <c r="G93" s="741">
        <v>0</v>
      </c>
      <c r="H93" s="741">
        <v>100800</v>
      </c>
      <c r="I93" s="742">
        <v>0</v>
      </c>
      <c r="J93" s="742">
        <f t="shared" si="32"/>
        <v>0</v>
      </c>
      <c r="K93" s="742">
        <v>0</v>
      </c>
      <c r="L93" s="742">
        <v>0</v>
      </c>
      <c r="M93" s="742">
        <v>0</v>
      </c>
      <c r="N93" s="742">
        <v>0</v>
      </c>
      <c r="O93" s="742">
        <v>0</v>
      </c>
      <c r="P93" s="743">
        <f t="shared" si="21"/>
        <v>102300</v>
      </c>
    </row>
    <row r="94" spans="1:16" s="35" customFormat="1" ht="64.150000000000006" customHeight="1" thickBot="1" x14ac:dyDescent="0.3">
      <c r="A94" s="43" t="s">
        <v>127</v>
      </c>
      <c r="B94" s="44" t="s">
        <v>16</v>
      </c>
      <c r="C94" s="44" t="s">
        <v>16</v>
      </c>
      <c r="D94" s="45" t="s">
        <v>128</v>
      </c>
      <c r="E94" s="71">
        <f>E95</f>
        <v>70056625</v>
      </c>
      <c r="F94" s="71">
        <f>F95</f>
        <v>70056625</v>
      </c>
      <c r="G94" s="71">
        <f t="shared" ref="G94:I94" si="34">G95</f>
        <v>3989655</v>
      </c>
      <c r="H94" s="71">
        <f t="shared" si="34"/>
        <v>0</v>
      </c>
      <c r="I94" s="71">
        <f t="shared" si="34"/>
        <v>0</v>
      </c>
      <c r="J94" s="10">
        <f>J95</f>
        <v>10742600</v>
      </c>
      <c r="K94" s="71">
        <f t="shared" ref="K94:O94" si="35">K95</f>
        <v>10383000</v>
      </c>
      <c r="L94" s="71">
        <f t="shared" si="35"/>
        <v>264650</v>
      </c>
      <c r="M94" s="71">
        <f t="shared" si="35"/>
        <v>0</v>
      </c>
      <c r="N94" s="71">
        <f t="shared" si="35"/>
        <v>0</v>
      </c>
      <c r="O94" s="71">
        <f t="shared" si="35"/>
        <v>10477950</v>
      </c>
      <c r="P94" s="72">
        <f>E94+J94</f>
        <v>80799225</v>
      </c>
    </row>
    <row r="95" spans="1:16" s="34" customFormat="1" ht="46.5" customHeight="1" x14ac:dyDescent="0.25">
      <c r="A95" s="63" t="s">
        <v>129</v>
      </c>
      <c r="B95" s="64" t="s">
        <v>16</v>
      </c>
      <c r="C95" s="64" t="s">
        <v>16</v>
      </c>
      <c r="D95" s="65" t="s">
        <v>128</v>
      </c>
      <c r="E95" s="51">
        <f>E96+E97+E99+E101+E102+E103+E105+E98+E104</f>
        <v>70056625</v>
      </c>
      <c r="F95" s="51">
        <f>F96+F97+F99+F101+F102+F103+F105+F98+F104</f>
        <v>70056625</v>
      </c>
      <c r="G95" s="51">
        <f t="shared" ref="G95:N95" si="36">G96+G97+G99+G101+G103+G105+G98</f>
        <v>3989655</v>
      </c>
      <c r="H95" s="51">
        <f t="shared" si="36"/>
        <v>0</v>
      </c>
      <c r="I95" s="51">
        <f t="shared" si="36"/>
        <v>0</v>
      </c>
      <c r="J95" s="51">
        <f>J96+J97+J99+J101+J103+J105+J98+J100</f>
        <v>10742600</v>
      </c>
      <c r="K95" s="51">
        <f>K96+K97+K99+K101+K103+K105+K98+K100</f>
        <v>10383000</v>
      </c>
      <c r="L95" s="51">
        <f t="shared" si="36"/>
        <v>264650</v>
      </c>
      <c r="M95" s="51">
        <f t="shared" si="36"/>
        <v>0</v>
      </c>
      <c r="N95" s="51">
        <f t="shared" si="36"/>
        <v>0</v>
      </c>
      <c r="O95" s="51">
        <f>O96+O97+O99+O101+O103+O105+O98+O100</f>
        <v>10477950</v>
      </c>
      <c r="P95" s="73">
        <f>P96+P97+P99+P101+P102+P103+P105+P98+P104+P100</f>
        <v>80799225</v>
      </c>
    </row>
    <row r="96" spans="1:16" ht="47.25" x14ac:dyDescent="0.25">
      <c r="A96" s="737" t="s">
        <v>130</v>
      </c>
      <c r="B96" s="739" t="s">
        <v>46</v>
      </c>
      <c r="C96" s="739" t="s">
        <v>19</v>
      </c>
      <c r="D96" s="30" t="s">
        <v>182</v>
      </c>
      <c r="E96" s="49">
        <f>F96</f>
        <v>4082162</v>
      </c>
      <c r="F96" s="49">
        <f>3359091+723071</f>
        <v>4082162</v>
      </c>
      <c r="G96" s="49">
        <f>3266584+723071</f>
        <v>3989655</v>
      </c>
      <c r="H96" s="49">
        <v>0</v>
      </c>
      <c r="I96" s="8">
        <v>0</v>
      </c>
      <c r="J96" s="8">
        <f>L96+O96</f>
        <v>23000</v>
      </c>
      <c r="K96" s="8">
        <f>O96</f>
        <v>23000</v>
      </c>
      <c r="L96" s="8">
        <v>0</v>
      </c>
      <c r="M96" s="8">
        <v>0</v>
      </c>
      <c r="N96" s="8">
        <v>0</v>
      </c>
      <c r="O96" s="8">
        <v>23000</v>
      </c>
      <c r="P96" s="74">
        <f t="shared" si="21"/>
        <v>4105162</v>
      </c>
    </row>
    <row r="97" spans="1:16" x14ac:dyDescent="0.25">
      <c r="A97" s="737" t="s">
        <v>131</v>
      </c>
      <c r="B97" s="739" t="s">
        <v>132</v>
      </c>
      <c r="C97" s="739" t="s">
        <v>133</v>
      </c>
      <c r="D97" s="30" t="s">
        <v>134</v>
      </c>
      <c r="E97" s="49">
        <f t="shared" ref="E97:E105" si="37">F97</f>
        <v>8474</v>
      </c>
      <c r="F97" s="49">
        <v>8474</v>
      </c>
      <c r="G97" s="49">
        <v>0</v>
      </c>
      <c r="H97" s="49">
        <v>0</v>
      </c>
      <c r="I97" s="8">
        <v>0</v>
      </c>
      <c r="J97" s="8">
        <f t="shared" ref="J97:J103" si="38">L97+O97</f>
        <v>0</v>
      </c>
      <c r="K97" s="8">
        <v>0</v>
      </c>
      <c r="L97" s="8">
        <v>0</v>
      </c>
      <c r="M97" s="8">
        <v>0</v>
      </c>
      <c r="N97" s="8">
        <v>0</v>
      </c>
      <c r="O97" s="8">
        <v>0</v>
      </c>
      <c r="P97" s="74">
        <f t="shared" si="21"/>
        <v>8474</v>
      </c>
    </row>
    <row r="98" spans="1:16" ht="31.5" x14ac:dyDescent="0.25">
      <c r="A98" s="737">
        <v>1216012</v>
      </c>
      <c r="B98" s="739">
        <v>6012</v>
      </c>
      <c r="C98" s="69" t="s">
        <v>29</v>
      </c>
      <c r="D98" s="30" t="s">
        <v>244</v>
      </c>
      <c r="E98" s="49">
        <f t="shared" si="37"/>
        <v>5671150</v>
      </c>
      <c r="F98" s="49">
        <f>13000000-7328850</f>
        <v>5671150</v>
      </c>
      <c r="G98" s="49">
        <v>0</v>
      </c>
      <c r="H98" s="49">
        <v>0</v>
      </c>
      <c r="I98" s="8">
        <v>0</v>
      </c>
      <c r="J98" s="8">
        <f t="shared" si="38"/>
        <v>0</v>
      </c>
      <c r="K98" s="8">
        <v>0</v>
      </c>
      <c r="L98" s="8">
        <v>0</v>
      </c>
      <c r="M98" s="8">
        <v>0</v>
      </c>
      <c r="N98" s="8">
        <v>0</v>
      </c>
      <c r="O98" s="8">
        <v>0</v>
      </c>
      <c r="P98" s="74">
        <f t="shared" si="21"/>
        <v>5671150</v>
      </c>
    </row>
    <row r="99" spans="1:16" ht="31.5" x14ac:dyDescent="0.25">
      <c r="A99" s="737" t="s">
        <v>135</v>
      </c>
      <c r="B99" s="739" t="s">
        <v>136</v>
      </c>
      <c r="C99" s="739" t="s">
        <v>29</v>
      </c>
      <c r="D99" s="30" t="s">
        <v>137</v>
      </c>
      <c r="E99" s="49">
        <f t="shared" si="37"/>
        <v>1231641</v>
      </c>
      <c r="F99" s="49">
        <v>1231641</v>
      </c>
      <c r="G99" s="49">
        <v>0</v>
      </c>
      <c r="H99" s="49">
        <v>0</v>
      </c>
      <c r="I99" s="8">
        <v>0</v>
      </c>
      <c r="J99" s="8">
        <f t="shared" si="38"/>
        <v>0</v>
      </c>
      <c r="K99" s="8">
        <v>0</v>
      </c>
      <c r="L99" s="8">
        <v>0</v>
      </c>
      <c r="M99" s="8">
        <v>0</v>
      </c>
      <c r="N99" s="8">
        <v>0</v>
      </c>
      <c r="O99" s="8">
        <v>0</v>
      </c>
      <c r="P99" s="74">
        <f t="shared" si="21"/>
        <v>1231641</v>
      </c>
    </row>
    <row r="100" spans="1:16" ht="31.5" x14ac:dyDescent="0.25">
      <c r="A100" s="744">
        <v>1216014</v>
      </c>
      <c r="B100" s="745">
        <v>6014</v>
      </c>
      <c r="C100" s="745" t="s">
        <v>29</v>
      </c>
      <c r="D100" s="30" t="s">
        <v>449</v>
      </c>
      <c r="E100" s="49"/>
      <c r="F100" s="49"/>
      <c r="G100" s="49"/>
      <c r="H100" s="49"/>
      <c r="I100" s="8"/>
      <c r="J100" s="8">
        <f t="shared" si="38"/>
        <v>5400000</v>
      </c>
      <c r="K100" s="8">
        <f>O100</f>
        <v>5400000</v>
      </c>
      <c r="L100" s="8"/>
      <c r="M100" s="8"/>
      <c r="N100" s="8"/>
      <c r="O100" s="8">
        <v>5400000</v>
      </c>
      <c r="P100" s="74">
        <f t="shared" si="21"/>
        <v>5400000</v>
      </c>
    </row>
    <row r="101" spans="1:16" ht="24" customHeight="1" x14ac:dyDescent="0.25">
      <c r="A101" s="737" t="s">
        <v>138</v>
      </c>
      <c r="B101" s="739" t="s">
        <v>28</v>
      </c>
      <c r="C101" s="739" t="s">
        <v>29</v>
      </c>
      <c r="D101" s="30" t="s">
        <v>30</v>
      </c>
      <c r="E101" s="49">
        <f t="shared" si="37"/>
        <v>47613157</v>
      </c>
      <c r="F101" s="49">
        <f>35374609+45564+6418944-6418944+478735+692416+1808000+721500+127967+8364366</f>
        <v>47613157</v>
      </c>
      <c r="G101" s="49">
        <v>0</v>
      </c>
      <c r="H101" s="49">
        <v>0</v>
      </c>
      <c r="I101" s="8">
        <v>0</v>
      </c>
      <c r="J101" s="8">
        <f t="shared" si="38"/>
        <v>4960000</v>
      </c>
      <c r="K101" s="8">
        <f>4960000</f>
        <v>4960000</v>
      </c>
      <c r="L101" s="8">
        <v>0</v>
      </c>
      <c r="M101" s="8">
        <v>0</v>
      </c>
      <c r="N101" s="8">
        <v>0</v>
      </c>
      <c r="O101" s="8">
        <v>4960000</v>
      </c>
      <c r="P101" s="74">
        <f>E101+J101</f>
        <v>52573157</v>
      </c>
    </row>
    <row r="102" spans="1:16" ht="154.15" customHeight="1" x14ac:dyDescent="0.25">
      <c r="A102" s="737">
        <v>1216071</v>
      </c>
      <c r="B102" s="739">
        <v>6071</v>
      </c>
      <c r="C102" s="69" t="s">
        <v>279</v>
      </c>
      <c r="D102" s="30" t="s">
        <v>277</v>
      </c>
      <c r="E102" s="49">
        <f t="shared" si="37"/>
        <v>7164584</v>
      </c>
      <c r="F102" s="49">
        <f>7328850+956519-1120785</f>
        <v>7164584</v>
      </c>
      <c r="G102" s="49">
        <f>-H102</f>
        <v>0</v>
      </c>
      <c r="H102" s="49">
        <v>0</v>
      </c>
      <c r="I102" s="8">
        <v>0</v>
      </c>
      <c r="J102" s="8">
        <f t="shared" si="38"/>
        <v>0</v>
      </c>
      <c r="K102" s="8">
        <v>0</v>
      </c>
      <c r="L102" s="8">
        <v>0</v>
      </c>
      <c r="M102" s="8">
        <v>0</v>
      </c>
      <c r="N102" s="8">
        <v>0</v>
      </c>
      <c r="O102" s="8">
        <v>0</v>
      </c>
      <c r="P102" s="74">
        <f t="shared" si="21"/>
        <v>7164584</v>
      </c>
    </row>
    <row r="103" spans="1:16" ht="55.15" customHeight="1" x14ac:dyDescent="0.25">
      <c r="A103" s="737" t="s">
        <v>139</v>
      </c>
      <c r="B103" s="739" t="s">
        <v>140</v>
      </c>
      <c r="C103" s="739" t="s">
        <v>141</v>
      </c>
      <c r="D103" s="30" t="s">
        <v>142</v>
      </c>
      <c r="E103" s="49">
        <f t="shared" si="37"/>
        <v>3013221</v>
      </c>
      <c r="F103" s="49">
        <f>2286103+347845+379273</f>
        <v>3013221</v>
      </c>
      <c r="G103" s="49">
        <v>0</v>
      </c>
      <c r="H103" s="49">
        <v>0</v>
      </c>
      <c r="I103" s="8">
        <v>0</v>
      </c>
      <c r="J103" s="8">
        <f t="shared" si="38"/>
        <v>0</v>
      </c>
      <c r="K103" s="8">
        <v>0</v>
      </c>
      <c r="L103" s="8">
        <v>0</v>
      </c>
      <c r="M103" s="8">
        <v>0</v>
      </c>
      <c r="N103" s="8">
        <v>0</v>
      </c>
      <c r="O103" s="8">
        <v>0</v>
      </c>
      <c r="P103" s="74">
        <f t="shared" si="21"/>
        <v>3013221</v>
      </c>
    </row>
    <row r="104" spans="1:16" ht="45.75" customHeight="1" x14ac:dyDescent="0.25">
      <c r="A104" s="46">
        <v>1217693</v>
      </c>
      <c r="B104" s="47">
        <v>7693</v>
      </c>
      <c r="C104" s="106" t="s">
        <v>178</v>
      </c>
      <c r="D104" s="41" t="s">
        <v>446</v>
      </c>
      <c r="E104" s="50">
        <f t="shared" si="37"/>
        <v>1272236</v>
      </c>
      <c r="F104" s="50">
        <f>1236594+38667+26774+23331+24056-98269+21083</f>
        <v>1272236</v>
      </c>
      <c r="G104" s="50"/>
      <c r="H104" s="50"/>
      <c r="I104" s="14"/>
      <c r="J104" s="8"/>
      <c r="K104" s="14"/>
      <c r="L104" s="14"/>
      <c r="M104" s="14"/>
      <c r="N104" s="14"/>
      <c r="O104" s="14"/>
      <c r="P104" s="74">
        <f t="shared" si="21"/>
        <v>1272236</v>
      </c>
    </row>
    <row r="105" spans="1:16" ht="40.9" customHeight="1" thickBot="1" x14ac:dyDescent="0.3">
      <c r="A105" s="46" t="s">
        <v>143</v>
      </c>
      <c r="B105" s="47" t="s">
        <v>144</v>
      </c>
      <c r="C105" s="47" t="s">
        <v>145</v>
      </c>
      <c r="D105" s="42" t="s">
        <v>146</v>
      </c>
      <c r="E105" s="50">
        <f t="shared" si="37"/>
        <v>0</v>
      </c>
      <c r="F105" s="50">
        <v>0</v>
      </c>
      <c r="G105" s="50">
        <v>0</v>
      </c>
      <c r="H105" s="50">
        <v>0</v>
      </c>
      <c r="I105" s="14">
        <v>0</v>
      </c>
      <c r="J105" s="8">
        <f>L105+O105</f>
        <v>359600</v>
      </c>
      <c r="K105" s="14">
        <v>0</v>
      </c>
      <c r="L105" s="14">
        <v>264650</v>
      </c>
      <c r="M105" s="14">
        <v>0</v>
      </c>
      <c r="N105" s="14">
        <v>0</v>
      </c>
      <c r="O105" s="14">
        <v>94950</v>
      </c>
      <c r="P105" s="75">
        <f t="shared" si="21"/>
        <v>359600</v>
      </c>
    </row>
    <row r="106" spans="1:16" s="35" customFormat="1" ht="49.5" customHeight="1" thickBot="1" x14ac:dyDescent="0.3">
      <c r="A106" s="43" t="s">
        <v>147</v>
      </c>
      <c r="B106" s="44" t="s">
        <v>16</v>
      </c>
      <c r="C106" s="44" t="s">
        <v>16</v>
      </c>
      <c r="D106" s="45" t="s">
        <v>148</v>
      </c>
      <c r="E106" s="71">
        <f>E107</f>
        <v>3139784</v>
      </c>
      <c r="F106" s="71">
        <f>E106</f>
        <v>3139784</v>
      </c>
      <c r="G106" s="71">
        <f>G107</f>
        <v>2934416</v>
      </c>
      <c r="H106" s="71">
        <f t="shared" ref="H106:I106" si="39">H107</f>
        <v>91053</v>
      </c>
      <c r="I106" s="71">
        <f t="shared" si="39"/>
        <v>0</v>
      </c>
      <c r="J106" s="71">
        <f>J107</f>
        <v>90927216</v>
      </c>
      <c r="K106" s="71">
        <f>K107</f>
        <v>90927216</v>
      </c>
      <c r="L106" s="71">
        <f t="shared" ref="L106:O106" si="40">L107</f>
        <v>0</v>
      </c>
      <c r="M106" s="71">
        <f t="shared" si="40"/>
        <v>0</v>
      </c>
      <c r="N106" s="71">
        <f t="shared" si="40"/>
        <v>0</v>
      </c>
      <c r="O106" s="71">
        <f t="shared" si="40"/>
        <v>90927216</v>
      </c>
      <c r="P106" s="72">
        <f>E106+J106</f>
        <v>94067000</v>
      </c>
    </row>
    <row r="107" spans="1:16" s="34" customFormat="1" ht="47.25" x14ac:dyDescent="0.25">
      <c r="A107" s="63" t="s">
        <v>149</v>
      </c>
      <c r="B107" s="64" t="s">
        <v>16</v>
      </c>
      <c r="C107" s="64" t="s">
        <v>16</v>
      </c>
      <c r="D107" s="65" t="s">
        <v>148</v>
      </c>
      <c r="E107" s="51">
        <f>E108+E111+E112+E114</f>
        <v>3139784</v>
      </c>
      <c r="F107" s="51">
        <f t="shared" ref="F107:I107" si="41">F108+F111+F112+F114</f>
        <v>3139784</v>
      </c>
      <c r="G107" s="51">
        <f t="shared" si="41"/>
        <v>2934416</v>
      </c>
      <c r="H107" s="51">
        <f t="shared" si="41"/>
        <v>91053</v>
      </c>
      <c r="I107" s="51">
        <f t="shared" si="41"/>
        <v>0</v>
      </c>
      <c r="J107" s="51">
        <f>J108+J111+J112+J114+J115+J109+J117+J118+J110+J116+J119+J113+J120</f>
        <v>90927216</v>
      </c>
      <c r="K107" s="51">
        <f>K108+K111+K112+K114+K115+K109+K117+K118+K110+K116+K119+K113+K120</f>
        <v>90927216</v>
      </c>
      <c r="L107" s="51">
        <f>L108+L111+L112+L114</f>
        <v>0</v>
      </c>
      <c r="M107" s="51">
        <f>M108+M111+M112+M114</f>
        <v>0</v>
      </c>
      <c r="N107" s="51">
        <f>N108+N111+N112+N114</f>
        <v>0</v>
      </c>
      <c r="O107" s="51">
        <f>O108+O109+O111+O112+O114+O115+O117+O118+O110+O116+O119+O120+O113</f>
        <v>90927216</v>
      </c>
      <c r="P107" s="73">
        <f>E107+J107</f>
        <v>94067000</v>
      </c>
    </row>
    <row r="108" spans="1:16" ht="57.6" customHeight="1" x14ac:dyDescent="0.25">
      <c r="A108" s="737" t="s">
        <v>205</v>
      </c>
      <c r="B108" s="739" t="s">
        <v>46</v>
      </c>
      <c r="C108" s="739" t="s">
        <v>19</v>
      </c>
      <c r="D108" s="30" t="s">
        <v>182</v>
      </c>
      <c r="E108" s="49">
        <f>F108+I108</f>
        <v>3139784</v>
      </c>
      <c r="F108" s="49">
        <f>2834288+17870+287626</f>
        <v>3139784</v>
      </c>
      <c r="G108" s="49">
        <f>2646790+287626</f>
        <v>2934416</v>
      </c>
      <c r="H108" s="49">
        <v>91053</v>
      </c>
      <c r="I108" s="8">
        <v>0</v>
      </c>
      <c r="J108" s="8">
        <f>L108+O108</f>
        <v>198750</v>
      </c>
      <c r="K108" s="8">
        <f>0+198750</f>
        <v>198750</v>
      </c>
      <c r="L108" s="8">
        <v>0</v>
      </c>
      <c r="M108" s="8">
        <v>0</v>
      </c>
      <c r="N108" s="8">
        <v>0</v>
      </c>
      <c r="O108" s="8">
        <f>198750</f>
        <v>198750</v>
      </c>
      <c r="P108" s="74">
        <f>E108+J108</f>
        <v>3338534</v>
      </c>
    </row>
    <row r="109" spans="1:16" ht="60.6" customHeight="1" x14ac:dyDescent="0.25">
      <c r="A109" s="737">
        <v>1511021</v>
      </c>
      <c r="B109" s="739">
        <v>1021</v>
      </c>
      <c r="C109" s="69" t="s">
        <v>53</v>
      </c>
      <c r="D109" s="30" t="s">
        <v>444</v>
      </c>
      <c r="E109" s="49"/>
      <c r="F109" s="49"/>
      <c r="G109" s="49"/>
      <c r="H109" s="49"/>
      <c r="I109" s="8"/>
      <c r="J109" s="8">
        <f>L109+O109</f>
        <v>33671556</v>
      </c>
      <c r="K109" s="8">
        <f>O109</f>
        <v>33671556</v>
      </c>
      <c r="L109" s="8"/>
      <c r="M109" s="8"/>
      <c r="N109" s="8"/>
      <c r="O109" s="8">
        <f>200000+11205842+268825+4384884+874564+12345379-874564+4389729+618654+258243</f>
        <v>33671556</v>
      </c>
      <c r="P109" s="74">
        <f t="shared" si="21"/>
        <v>33671556</v>
      </c>
    </row>
    <row r="110" spans="1:16" ht="43.15" customHeight="1" x14ac:dyDescent="0.25">
      <c r="A110" s="737">
        <v>1512010</v>
      </c>
      <c r="B110" s="739">
        <v>2010</v>
      </c>
      <c r="C110" s="69" t="s">
        <v>22</v>
      </c>
      <c r="D110" s="30" t="s">
        <v>23</v>
      </c>
      <c r="E110" s="49"/>
      <c r="F110" s="49"/>
      <c r="G110" s="49"/>
      <c r="H110" s="49"/>
      <c r="I110" s="8"/>
      <c r="J110" s="8">
        <f>L110+O110</f>
        <v>103135</v>
      </c>
      <c r="K110" s="8">
        <f t="shared" ref="K110:K114" si="42">O110</f>
        <v>103135</v>
      </c>
      <c r="L110" s="8"/>
      <c r="M110" s="8"/>
      <c r="N110" s="8"/>
      <c r="O110" s="8">
        <f>103135</f>
        <v>103135</v>
      </c>
      <c r="P110" s="74">
        <f t="shared" si="21"/>
        <v>103135</v>
      </c>
    </row>
    <row r="111" spans="1:16" ht="54.75" customHeight="1" x14ac:dyDescent="0.25">
      <c r="A111" s="90">
        <v>1514060</v>
      </c>
      <c r="B111" s="91">
        <v>4060</v>
      </c>
      <c r="C111" s="92" t="s">
        <v>108</v>
      </c>
      <c r="D111" s="37" t="s">
        <v>109</v>
      </c>
      <c r="E111" s="49">
        <f t="shared" ref="E111" si="43">F111+I111</f>
        <v>0</v>
      </c>
      <c r="F111" s="49">
        <v>0</v>
      </c>
      <c r="G111" s="49">
        <v>0</v>
      </c>
      <c r="H111" s="49">
        <v>0</v>
      </c>
      <c r="I111" s="8">
        <v>0</v>
      </c>
      <c r="J111" s="8">
        <f>L111+O111</f>
        <v>2478809</v>
      </c>
      <c r="K111" s="8">
        <f t="shared" si="42"/>
        <v>2478809</v>
      </c>
      <c r="L111" s="8">
        <v>0</v>
      </c>
      <c r="M111" s="8">
        <v>0</v>
      </c>
      <c r="N111" s="8">
        <v>0</v>
      </c>
      <c r="O111" s="8">
        <f>2295144-694188+1568308-690455</f>
        <v>2478809</v>
      </c>
      <c r="P111" s="74">
        <f t="shared" si="21"/>
        <v>2478809</v>
      </c>
    </row>
    <row r="112" spans="1:16" ht="46.9" customHeight="1" x14ac:dyDescent="0.25">
      <c r="A112" s="222">
        <v>1516012</v>
      </c>
      <c r="B112" s="93">
        <v>6012</v>
      </c>
      <c r="C112" s="94" t="s">
        <v>29</v>
      </c>
      <c r="D112" s="41" t="s">
        <v>244</v>
      </c>
      <c r="E112" s="14">
        <v>0</v>
      </c>
      <c r="F112" s="8">
        <v>0</v>
      </c>
      <c r="G112" s="8">
        <v>0</v>
      </c>
      <c r="H112" s="8">
        <v>0</v>
      </c>
      <c r="I112" s="8">
        <v>0</v>
      </c>
      <c r="J112" s="8">
        <f t="shared" ref="J112:J120" si="44">L112+O112</f>
        <v>31380905</v>
      </c>
      <c r="K112" s="8">
        <f t="shared" si="42"/>
        <v>31380905</v>
      </c>
      <c r="L112" s="8">
        <v>0</v>
      </c>
      <c r="M112" s="8">
        <v>0</v>
      </c>
      <c r="N112" s="8">
        <v>0</v>
      </c>
      <c r="O112" s="14">
        <f>1497526+752140+1748351+2894056+1183600+182148+8935634+4000000+187450+10000000</f>
        <v>31380905</v>
      </c>
      <c r="P112" s="74">
        <f t="shared" si="21"/>
        <v>31380905</v>
      </c>
    </row>
    <row r="113" spans="1:16" ht="39.6" customHeight="1" x14ac:dyDescent="0.25">
      <c r="A113" s="222">
        <v>1516013</v>
      </c>
      <c r="B113" s="93">
        <v>6013</v>
      </c>
      <c r="C113" s="94" t="s">
        <v>29</v>
      </c>
      <c r="D113" s="622" t="s">
        <v>137</v>
      </c>
      <c r="E113" s="625"/>
      <c r="F113" s="623"/>
      <c r="G113" s="8"/>
      <c r="H113" s="8"/>
      <c r="I113" s="8"/>
      <c r="J113" s="8">
        <f t="shared" si="44"/>
        <v>286222</v>
      </c>
      <c r="K113" s="8">
        <f t="shared" si="42"/>
        <v>286222</v>
      </c>
      <c r="L113" s="8"/>
      <c r="M113" s="8"/>
      <c r="N113" s="8"/>
      <c r="O113" s="14">
        <f>0+60000+226222</f>
        <v>286222</v>
      </c>
      <c r="P113" s="74">
        <f t="shared" si="21"/>
        <v>286222</v>
      </c>
    </row>
    <row r="114" spans="1:16" ht="30" customHeight="1" x14ac:dyDescent="0.25">
      <c r="A114" s="46">
        <v>1516030</v>
      </c>
      <c r="B114" s="47" t="s">
        <v>28</v>
      </c>
      <c r="C114" s="47" t="s">
        <v>29</v>
      </c>
      <c r="D114" s="42" t="s">
        <v>30</v>
      </c>
      <c r="E114" s="624">
        <v>0</v>
      </c>
      <c r="F114" s="8">
        <v>0</v>
      </c>
      <c r="G114" s="8">
        <v>0</v>
      </c>
      <c r="H114" s="8">
        <v>0</v>
      </c>
      <c r="I114" s="8">
        <v>0</v>
      </c>
      <c r="J114" s="14">
        <f t="shared" si="44"/>
        <v>6981837</v>
      </c>
      <c r="K114" s="8">
        <f t="shared" si="42"/>
        <v>6981837</v>
      </c>
      <c r="L114" s="8">
        <v>0</v>
      </c>
      <c r="M114" s="8">
        <v>0</v>
      </c>
      <c r="N114" s="8">
        <v>0</v>
      </c>
      <c r="O114" s="14">
        <f>1011118+1104357+4003149+406558-93145+549800</f>
        <v>6981837</v>
      </c>
      <c r="P114" s="75">
        <f>E114+J114</f>
        <v>6981837</v>
      </c>
    </row>
    <row r="115" spans="1:16" ht="35.450000000000003" customHeight="1" x14ac:dyDescent="0.25">
      <c r="A115" s="104" t="s">
        <v>286</v>
      </c>
      <c r="B115" s="47" t="s">
        <v>287</v>
      </c>
      <c r="C115" s="105" t="s">
        <v>288</v>
      </c>
      <c r="D115" s="42" t="s">
        <v>289</v>
      </c>
      <c r="E115" s="14">
        <v>0</v>
      </c>
      <c r="F115" s="14">
        <v>0</v>
      </c>
      <c r="G115" s="14">
        <v>0</v>
      </c>
      <c r="H115" s="14">
        <v>0</v>
      </c>
      <c r="I115" s="14">
        <v>0</v>
      </c>
      <c r="J115" s="14">
        <f t="shared" si="44"/>
        <v>3338727</v>
      </c>
      <c r="K115" s="8">
        <f t="shared" ref="K115:K118" si="45">O115</f>
        <v>3338727</v>
      </c>
      <c r="L115" s="14">
        <v>0</v>
      </c>
      <c r="M115" s="14">
        <v>0</v>
      </c>
      <c r="N115" s="14">
        <v>0</v>
      </c>
      <c r="O115" s="14">
        <f>2138727+49800+1550200-400000</f>
        <v>3338727</v>
      </c>
      <c r="P115" s="75">
        <f t="shared" si="21"/>
        <v>3338727</v>
      </c>
    </row>
    <row r="116" spans="1:16" ht="31.15" customHeight="1" x14ac:dyDescent="0.25">
      <c r="A116" s="104">
        <v>1517324</v>
      </c>
      <c r="B116" s="47">
        <v>7324</v>
      </c>
      <c r="C116" s="223" t="s">
        <v>288</v>
      </c>
      <c r="D116" s="42" t="s">
        <v>485</v>
      </c>
      <c r="E116" s="14"/>
      <c r="F116" s="14"/>
      <c r="G116" s="14"/>
      <c r="H116" s="14"/>
      <c r="I116" s="14"/>
      <c r="J116" s="14">
        <f t="shared" si="44"/>
        <v>1501526</v>
      </c>
      <c r="K116" s="8">
        <f t="shared" si="45"/>
        <v>1501526</v>
      </c>
      <c r="L116" s="14"/>
      <c r="M116" s="14"/>
      <c r="N116" s="14"/>
      <c r="O116" s="14">
        <f>0+1501526</f>
        <v>1501526</v>
      </c>
      <c r="P116" s="75">
        <f t="shared" si="21"/>
        <v>1501526</v>
      </c>
    </row>
    <row r="117" spans="1:16" ht="31.5" x14ac:dyDescent="0.25">
      <c r="A117" s="737">
        <v>1517330</v>
      </c>
      <c r="B117" s="739">
        <v>7330</v>
      </c>
      <c r="C117" s="69" t="s">
        <v>288</v>
      </c>
      <c r="D117" s="37" t="s">
        <v>448</v>
      </c>
      <c r="E117" s="8"/>
      <c r="F117" s="8"/>
      <c r="G117" s="8"/>
      <c r="H117" s="8"/>
      <c r="I117" s="8"/>
      <c r="J117" s="8">
        <f t="shared" si="44"/>
        <v>1264018</v>
      </c>
      <c r="K117" s="8">
        <f t="shared" si="45"/>
        <v>1264018</v>
      </c>
      <c r="L117" s="8"/>
      <c r="M117" s="8"/>
      <c r="N117" s="8"/>
      <c r="O117" s="8">
        <f>1477980-213962</f>
        <v>1264018</v>
      </c>
      <c r="P117" s="74">
        <f t="shared" si="21"/>
        <v>1264018</v>
      </c>
    </row>
    <row r="118" spans="1:16" ht="31.5" x14ac:dyDescent="0.25">
      <c r="A118" s="46">
        <v>1517693</v>
      </c>
      <c r="B118" s="47">
        <v>7693</v>
      </c>
      <c r="C118" s="106" t="s">
        <v>178</v>
      </c>
      <c r="D118" s="41" t="s">
        <v>446</v>
      </c>
      <c r="E118" s="14"/>
      <c r="F118" s="14"/>
      <c r="G118" s="14"/>
      <c r="H118" s="14"/>
      <c r="I118" s="14"/>
      <c r="J118" s="14">
        <f t="shared" si="44"/>
        <v>0</v>
      </c>
      <c r="K118" s="14">
        <f t="shared" si="45"/>
        <v>0</v>
      </c>
      <c r="L118" s="14"/>
      <c r="M118" s="14"/>
      <c r="N118" s="14"/>
      <c r="O118" s="14">
        <f>0</f>
        <v>0</v>
      </c>
      <c r="P118" s="75">
        <f t="shared" si="21"/>
        <v>0</v>
      </c>
    </row>
    <row r="119" spans="1:16" ht="48.6" customHeight="1" x14ac:dyDescent="0.25">
      <c r="A119" s="737">
        <v>1517461</v>
      </c>
      <c r="B119" s="739">
        <v>7461</v>
      </c>
      <c r="C119" s="69" t="s">
        <v>141</v>
      </c>
      <c r="D119" s="37" t="s">
        <v>142</v>
      </c>
      <c r="E119" s="8"/>
      <c r="F119" s="8"/>
      <c r="G119" s="8"/>
      <c r="H119" s="8"/>
      <c r="I119" s="8"/>
      <c r="J119" s="8">
        <f t="shared" si="44"/>
        <v>7679731</v>
      </c>
      <c r="K119" s="8">
        <f>O119</f>
        <v>7679731</v>
      </c>
      <c r="L119" s="8"/>
      <c r="M119" s="8"/>
      <c r="N119" s="8"/>
      <c r="O119" s="8">
        <f>0+12000000+6418944-478735+1059791+148634-12000000+531097</f>
        <v>7679731</v>
      </c>
      <c r="P119" s="74">
        <f t="shared" si="21"/>
        <v>7679731</v>
      </c>
    </row>
    <row r="120" spans="1:16" ht="48.6" customHeight="1" thickBot="1" x14ac:dyDescent="0.3">
      <c r="A120" s="40">
        <v>1518110</v>
      </c>
      <c r="B120" s="9">
        <v>8110</v>
      </c>
      <c r="C120" s="221" t="s">
        <v>239</v>
      </c>
      <c r="D120" s="466" t="s">
        <v>240</v>
      </c>
      <c r="E120" s="218"/>
      <c r="F120" s="218"/>
      <c r="G120" s="218"/>
      <c r="H120" s="218"/>
      <c r="I120" s="218"/>
      <c r="J120" s="8">
        <f t="shared" si="44"/>
        <v>2042000</v>
      </c>
      <c r="K120" s="8">
        <f>O120</f>
        <v>2042000</v>
      </c>
      <c r="L120" s="218"/>
      <c r="M120" s="218"/>
      <c r="N120" s="218"/>
      <c r="O120" s="218">
        <f>2042000</f>
        <v>2042000</v>
      </c>
      <c r="P120" s="74">
        <f t="shared" si="21"/>
        <v>2042000</v>
      </c>
    </row>
    <row r="121" spans="1:16" s="35" customFormat="1" ht="51" customHeight="1" thickBot="1" x14ac:dyDescent="0.3">
      <c r="A121" s="43" t="s">
        <v>206</v>
      </c>
      <c r="B121" s="44" t="s">
        <v>16</v>
      </c>
      <c r="C121" s="44" t="s">
        <v>16</v>
      </c>
      <c r="D121" s="45" t="s">
        <v>207</v>
      </c>
      <c r="E121" s="71">
        <f>E122</f>
        <v>3958945</v>
      </c>
      <c r="F121" s="71">
        <f t="shared" ref="F121:I121" si="46">F122</f>
        <v>3958945</v>
      </c>
      <c r="G121" s="71">
        <f t="shared" si="46"/>
        <v>3641143</v>
      </c>
      <c r="H121" s="71">
        <f t="shared" si="46"/>
        <v>0</v>
      </c>
      <c r="I121" s="71">
        <f t="shared" si="46"/>
        <v>0</v>
      </c>
      <c r="J121" s="10">
        <f>J122</f>
        <v>0</v>
      </c>
      <c r="K121" s="10">
        <f>K122</f>
        <v>0</v>
      </c>
      <c r="L121" s="10">
        <f t="shared" ref="L121:O122" si="47">L122</f>
        <v>0</v>
      </c>
      <c r="M121" s="10">
        <f t="shared" si="47"/>
        <v>0</v>
      </c>
      <c r="N121" s="10">
        <f t="shared" si="47"/>
        <v>0</v>
      </c>
      <c r="O121" s="10">
        <f t="shared" si="47"/>
        <v>0</v>
      </c>
      <c r="P121" s="72">
        <f>E121+J121</f>
        <v>3958945</v>
      </c>
    </row>
    <row r="122" spans="1:16" s="34" customFormat="1" ht="47.25" x14ac:dyDescent="0.25">
      <c r="A122" s="63" t="s">
        <v>208</v>
      </c>
      <c r="B122" s="64" t="s">
        <v>16</v>
      </c>
      <c r="C122" s="64" t="s">
        <v>16</v>
      </c>
      <c r="D122" s="65" t="s">
        <v>207</v>
      </c>
      <c r="E122" s="51">
        <f>E123+E124</f>
        <v>3958945</v>
      </c>
      <c r="F122" s="51">
        <f>F123+F124</f>
        <v>3958945</v>
      </c>
      <c r="G122" s="51">
        <f>G123</f>
        <v>3641143</v>
      </c>
      <c r="H122" s="51">
        <f>H123</f>
        <v>0</v>
      </c>
      <c r="I122" s="15">
        <f>I123</f>
        <v>0</v>
      </c>
      <c r="J122" s="15">
        <f>J123</f>
        <v>0</v>
      </c>
      <c r="K122" s="15">
        <f>K123</f>
        <v>0</v>
      </c>
      <c r="L122" s="15">
        <f t="shared" si="47"/>
        <v>0</v>
      </c>
      <c r="M122" s="15">
        <f t="shared" si="47"/>
        <v>0</v>
      </c>
      <c r="N122" s="15">
        <f t="shared" si="47"/>
        <v>0</v>
      </c>
      <c r="O122" s="15">
        <f t="shared" si="47"/>
        <v>0</v>
      </c>
      <c r="P122" s="73">
        <f>E122+J122</f>
        <v>3958945</v>
      </c>
    </row>
    <row r="123" spans="1:16" ht="54.6" customHeight="1" x14ac:dyDescent="0.25">
      <c r="A123" s="737" t="s">
        <v>209</v>
      </c>
      <c r="B123" s="739" t="s">
        <v>46</v>
      </c>
      <c r="C123" s="739" t="s">
        <v>19</v>
      </c>
      <c r="D123" s="30" t="s">
        <v>182</v>
      </c>
      <c r="E123" s="49">
        <f>F123+I123</f>
        <v>3813945</v>
      </c>
      <c r="F123" s="49">
        <f>3271714+542231</f>
        <v>3813945</v>
      </c>
      <c r="G123" s="49">
        <f>3098912+542231</f>
        <v>3641143</v>
      </c>
      <c r="H123" s="49">
        <v>0</v>
      </c>
      <c r="I123" s="8">
        <v>0</v>
      </c>
      <c r="J123" s="15">
        <f t="shared" ref="J123:J124" si="48">J124</f>
        <v>0</v>
      </c>
      <c r="K123" s="15">
        <f t="shared" ref="K123:K124" si="49">K124</f>
        <v>0</v>
      </c>
      <c r="L123" s="8">
        <v>0</v>
      </c>
      <c r="M123" s="8">
        <v>0</v>
      </c>
      <c r="N123" s="8">
        <v>0</v>
      </c>
      <c r="O123" s="8">
        <v>0</v>
      </c>
      <c r="P123" s="74">
        <f t="shared" si="21"/>
        <v>3813945</v>
      </c>
    </row>
    <row r="124" spans="1:16" ht="35.25" customHeight="1" thickBot="1" x14ac:dyDescent="0.3">
      <c r="A124" s="40">
        <v>1616014</v>
      </c>
      <c r="B124" s="9">
        <v>6014</v>
      </c>
      <c r="C124" s="221" t="s">
        <v>29</v>
      </c>
      <c r="D124" s="30" t="s">
        <v>449</v>
      </c>
      <c r="E124" s="49">
        <f>F124+I124</f>
        <v>145000</v>
      </c>
      <c r="F124" s="217">
        <f>0+145000</f>
        <v>145000</v>
      </c>
      <c r="G124" s="217">
        <v>0</v>
      </c>
      <c r="H124" s="217">
        <v>0</v>
      </c>
      <c r="I124" s="218">
        <v>0</v>
      </c>
      <c r="J124" s="15">
        <f t="shared" si="48"/>
        <v>0</v>
      </c>
      <c r="K124" s="15">
        <f t="shared" si="49"/>
        <v>0</v>
      </c>
      <c r="L124" s="218">
        <v>0</v>
      </c>
      <c r="M124" s="218">
        <v>0</v>
      </c>
      <c r="N124" s="218">
        <v>0</v>
      </c>
      <c r="O124" s="218">
        <v>0</v>
      </c>
      <c r="P124" s="74">
        <f t="shared" si="21"/>
        <v>145000</v>
      </c>
    </row>
    <row r="125" spans="1:16" s="35" customFormat="1" ht="59.45" customHeight="1" thickBot="1" x14ac:dyDescent="0.3">
      <c r="A125" s="43" t="s">
        <v>210</v>
      </c>
      <c r="B125" s="44" t="s">
        <v>16</v>
      </c>
      <c r="C125" s="44" t="s">
        <v>16</v>
      </c>
      <c r="D125" s="45" t="s">
        <v>211</v>
      </c>
      <c r="E125" s="71">
        <f>E126</f>
        <v>8453139</v>
      </c>
      <c r="F125" s="71">
        <f>F126</f>
        <v>8453139</v>
      </c>
      <c r="G125" s="71">
        <f>G126</f>
        <v>3736189</v>
      </c>
      <c r="H125" s="71">
        <f t="shared" ref="H125:I126" si="50">H126</f>
        <v>0</v>
      </c>
      <c r="I125" s="71">
        <f t="shared" si="50"/>
        <v>0</v>
      </c>
      <c r="J125" s="10">
        <f>J126</f>
        <v>0</v>
      </c>
      <c r="K125" s="10">
        <f>K126</f>
        <v>0</v>
      </c>
      <c r="L125" s="10">
        <f t="shared" ref="L125:O126" si="51">L126</f>
        <v>0</v>
      </c>
      <c r="M125" s="10">
        <f t="shared" si="51"/>
        <v>0</v>
      </c>
      <c r="N125" s="10">
        <f t="shared" si="51"/>
        <v>0</v>
      </c>
      <c r="O125" s="10">
        <f t="shared" si="51"/>
        <v>0</v>
      </c>
      <c r="P125" s="72">
        <f t="shared" si="21"/>
        <v>8453139</v>
      </c>
    </row>
    <row r="126" spans="1:16" s="34" customFormat="1" ht="36" customHeight="1" x14ac:dyDescent="0.25">
      <c r="A126" s="246" t="s">
        <v>212</v>
      </c>
      <c r="B126" s="247" t="s">
        <v>16</v>
      </c>
      <c r="C126" s="247" t="s">
        <v>16</v>
      </c>
      <c r="D126" s="248" t="s">
        <v>211</v>
      </c>
      <c r="E126" s="249">
        <f>E127+E128+E129</f>
        <v>8453139</v>
      </c>
      <c r="F126" s="249">
        <f>F127+F128+F129</f>
        <v>8453139</v>
      </c>
      <c r="G126" s="249">
        <f>G127+G128</f>
        <v>3736189</v>
      </c>
      <c r="H126" s="249">
        <f t="shared" si="50"/>
        <v>0</v>
      </c>
      <c r="I126" s="249">
        <f t="shared" si="50"/>
        <v>0</v>
      </c>
      <c r="J126" s="16">
        <f>J127</f>
        <v>0</v>
      </c>
      <c r="K126" s="16">
        <f>K127</f>
        <v>0</v>
      </c>
      <c r="L126" s="16">
        <f t="shared" si="51"/>
        <v>0</v>
      </c>
      <c r="M126" s="16">
        <f t="shared" si="51"/>
        <v>0</v>
      </c>
      <c r="N126" s="16">
        <f t="shared" si="51"/>
        <v>0</v>
      </c>
      <c r="O126" s="16">
        <f t="shared" si="51"/>
        <v>0</v>
      </c>
      <c r="P126" s="250">
        <f>E126+J126</f>
        <v>8453139</v>
      </c>
    </row>
    <row r="127" spans="1:16" ht="47.25" x14ac:dyDescent="0.25">
      <c r="A127" s="46" t="s">
        <v>213</v>
      </c>
      <c r="B127" s="47" t="s">
        <v>46</v>
      </c>
      <c r="C127" s="47" t="s">
        <v>19</v>
      </c>
      <c r="D127" s="42" t="s">
        <v>182</v>
      </c>
      <c r="E127" s="50">
        <f>F127+I127</f>
        <v>3832479</v>
      </c>
      <c r="F127" s="50">
        <f>3234461+580752+17266</f>
        <v>3832479</v>
      </c>
      <c r="G127" s="50">
        <f>3155437+580752</f>
        <v>3736189</v>
      </c>
      <c r="H127" s="50">
        <v>0</v>
      </c>
      <c r="I127" s="14">
        <v>0</v>
      </c>
      <c r="J127" s="14">
        <f>K127+O127</f>
        <v>0</v>
      </c>
      <c r="K127" s="14">
        <v>0</v>
      </c>
      <c r="L127" s="14">
        <v>0</v>
      </c>
      <c r="M127" s="14">
        <v>0</v>
      </c>
      <c r="N127" s="14">
        <v>0</v>
      </c>
      <c r="O127" s="14">
        <v>0</v>
      </c>
      <c r="P127" s="75">
        <f>E127+J127</f>
        <v>3832479</v>
      </c>
    </row>
    <row r="128" spans="1:16" ht="24" customHeight="1" x14ac:dyDescent="0.25">
      <c r="A128" s="737">
        <v>2717413</v>
      </c>
      <c r="B128" s="739">
        <v>7413</v>
      </c>
      <c r="C128" s="69" t="s">
        <v>247</v>
      </c>
      <c r="D128" s="30" t="s">
        <v>246</v>
      </c>
      <c r="E128" s="49">
        <f>F128+I128</f>
        <v>4440660</v>
      </c>
      <c r="F128" s="49">
        <f>5407680-967020</f>
        <v>4440660</v>
      </c>
      <c r="G128" s="49">
        <v>0</v>
      </c>
      <c r="H128" s="49"/>
      <c r="I128" s="8"/>
      <c r="J128" s="8"/>
      <c r="K128" s="8"/>
      <c r="L128" s="8"/>
      <c r="M128" s="8"/>
      <c r="N128" s="8"/>
      <c r="O128" s="8"/>
      <c r="P128" s="74">
        <f t="shared" si="21"/>
        <v>4440660</v>
      </c>
    </row>
    <row r="129" spans="1:19" ht="24" customHeight="1" thickBot="1" x14ac:dyDescent="0.3">
      <c r="A129" s="40">
        <v>2719770</v>
      </c>
      <c r="B129" s="9">
        <v>9770</v>
      </c>
      <c r="C129" s="221" t="s">
        <v>226</v>
      </c>
      <c r="D129" s="30" t="s">
        <v>598</v>
      </c>
      <c r="E129" s="49">
        <f>F129+I129</f>
        <v>180000</v>
      </c>
      <c r="F129" s="217">
        <f>0+180000</f>
        <v>180000</v>
      </c>
      <c r="G129" s="217"/>
      <c r="H129" s="217"/>
      <c r="I129" s="218"/>
      <c r="J129" s="218"/>
      <c r="K129" s="218"/>
      <c r="L129" s="218"/>
      <c r="M129" s="218"/>
      <c r="N129" s="218"/>
      <c r="O129" s="218"/>
      <c r="P129" s="74">
        <f t="shared" si="21"/>
        <v>180000</v>
      </c>
    </row>
    <row r="130" spans="1:19" s="35" customFormat="1" ht="48" thickBot="1" x14ac:dyDescent="0.3">
      <c r="A130" s="43" t="s">
        <v>214</v>
      </c>
      <c r="B130" s="44" t="s">
        <v>16</v>
      </c>
      <c r="C130" s="44" t="s">
        <v>16</v>
      </c>
      <c r="D130" s="45" t="s">
        <v>215</v>
      </c>
      <c r="E130" s="71">
        <f>E131</f>
        <v>4697210</v>
      </c>
      <c r="F130" s="71">
        <f>F131</f>
        <v>4697210</v>
      </c>
      <c r="G130" s="71">
        <f t="shared" ref="G130:I130" si="52">G131</f>
        <v>2833890</v>
      </c>
      <c r="H130" s="71">
        <f t="shared" si="52"/>
        <v>0</v>
      </c>
      <c r="I130" s="71">
        <f t="shared" si="52"/>
        <v>0</v>
      </c>
      <c r="J130" s="10">
        <f>J131</f>
        <v>23000</v>
      </c>
      <c r="K130" s="71">
        <f>K131</f>
        <v>23000</v>
      </c>
      <c r="L130" s="71">
        <f t="shared" ref="L130:O130" si="53">L131</f>
        <v>0</v>
      </c>
      <c r="M130" s="71">
        <f t="shared" si="53"/>
        <v>0</v>
      </c>
      <c r="N130" s="71">
        <f t="shared" si="53"/>
        <v>0</v>
      </c>
      <c r="O130" s="71">
        <f t="shared" si="53"/>
        <v>23000</v>
      </c>
      <c r="P130" s="72">
        <f t="shared" si="21"/>
        <v>4720210</v>
      </c>
    </row>
    <row r="131" spans="1:19" s="34" customFormat="1" ht="47.25" x14ac:dyDescent="0.25">
      <c r="A131" s="63" t="s">
        <v>216</v>
      </c>
      <c r="B131" s="64" t="s">
        <v>16</v>
      </c>
      <c r="C131" s="64" t="s">
        <v>16</v>
      </c>
      <c r="D131" s="65" t="s">
        <v>215</v>
      </c>
      <c r="E131" s="51">
        <f>E132+E133+E134+E135</f>
        <v>4697210</v>
      </c>
      <c r="F131" s="51">
        <f>F132+F133+F134+F135</f>
        <v>4697210</v>
      </c>
      <c r="G131" s="51">
        <f>G132</f>
        <v>2833890</v>
      </c>
      <c r="H131" s="51">
        <f t="shared" ref="H131:N131" si="54">H132+H138</f>
        <v>0</v>
      </c>
      <c r="I131" s="51">
        <f t="shared" si="54"/>
        <v>0</v>
      </c>
      <c r="J131" s="15">
        <f>J132+J133+J134+J135</f>
        <v>23000</v>
      </c>
      <c r="K131" s="15">
        <f>K132+K133+K134+K135</f>
        <v>23000</v>
      </c>
      <c r="L131" s="51">
        <f t="shared" si="54"/>
        <v>0</v>
      </c>
      <c r="M131" s="51">
        <f t="shared" si="54"/>
        <v>0</v>
      </c>
      <c r="N131" s="51">
        <f t="shared" si="54"/>
        <v>0</v>
      </c>
      <c r="O131" s="51">
        <f>O132+O133+O134+O135</f>
        <v>23000</v>
      </c>
      <c r="P131" s="73">
        <f>P132+P133+P134+P135</f>
        <v>4720210</v>
      </c>
    </row>
    <row r="132" spans="1:19" ht="47.25" x14ac:dyDescent="0.25">
      <c r="A132" s="737" t="s">
        <v>217</v>
      </c>
      <c r="B132" s="739" t="s">
        <v>46</v>
      </c>
      <c r="C132" s="739" t="s">
        <v>19</v>
      </c>
      <c r="D132" s="30" t="s">
        <v>182</v>
      </c>
      <c r="E132" s="49">
        <f>F132+I132</f>
        <v>2898845</v>
      </c>
      <c r="F132" s="49">
        <f>2393892+504953</f>
        <v>2898845</v>
      </c>
      <c r="G132" s="49">
        <f>2328937+504953</f>
        <v>2833890</v>
      </c>
      <c r="H132" s="49">
        <v>0</v>
      </c>
      <c r="I132" s="8">
        <v>0</v>
      </c>
      <c r="J132" s="8">
        <f>L132+O132</f>
        <v>23000</v>
      </c>
      <c r="K132" s="8">
        <v>23000</v>
      </c>
      <c r="L132" s="8">
        <v>0</v>
      </c>
      <c r="M132" s="8">
        <v>0</v>
      </c>
      <c r="N132" s="8">
        <v>0</v>
      </c>
      <c r="O132" s="8">
        <v>23000</v>
      </c>
      <c r="P132" s="74">
        <f t="shared" si="21"/>
        <v>2921845</v>
      </c>
    </row>
    <row r="133" spans="1:19" ht="31.5" x14ac:dyDescent="0.25">
      <c r="A133" s="40">
        <v>3117693</v>
      </c>
      <c r="B133" s="9">
        <v>7693</v>
      </c>
      <c r="C133" s="221" t="s">
        <v>178</v>
      </c>
      <c r="D133" s="30" t="s">
        <v>446</v>
      </c>
      <c r="E133" s="49">
        <f t="shared" ref="E133:E135" si="55">F133+I133</f>
        <v>160062</v>
      </c>
      <c r="F133" s="217">
        <f>0+6562+153500</f>
        <v>160062</v>
      </c>
      <c r="G133" s="217"/>
      <c r="H133" s="217"/>
      <c r="I133" s="218"/>
      <c r="J133" s="8">
        <f t="shared" ref="J133:J135" si="56">L133+O133</f>
        <v>0</v>
      </c>
      <c r="K133" s="8"/>
      <c r="L133" s="8">
        <v>0</v>
      </c>
      <c r="M133" s="218"/>
      <c r="N133" s="218"/>
      <c r="O133" s="218"/>
      <c r="P133" s="74">
        <f t="shared" si="21"/>
        <v>160062</v>
      </c>
    </row>
    <row r="134" spans="1:19" ht="54.75" customHeight="1" x14ac:dyDescent="0.25">
      <c r="A134" s="737">
        <v>3118110</v>
      </c>
      <c r="B134" s="739">
        <v>8110</v>
      </c>
      <c r="C134" s="69" t="s">
        <v>239</v>
      </c>
      <c r="D134" s="30" t="s">
        <v>240</v>
      </c>
      <c r="E134" s="49">
        <f t="shared" si="55"/>
        <v>1338303</v>
      </c>
      <c r="F134" s="49">
        <f>0+73320+1264983</f>
        <v>1338303</v>
      </c>
      <c r="G134" s="49"/>
      <c r="H134" s="49"/>
      <c r="I134" s="8"/>
      <c r="J134" s="8">
        <f t="shared" si="56"/>
        <v>0</v>
      </c>
      <c r="K134" s="8"/>
      <c r="L134" s="8">
        <v>0</v>
      </c>
      <c r="M134" s="8"/>
      <c r="N134" s="8"/>
      <c r="O134" s="8"/>
      <c r="P134" s="74">
        <f t="shared" si="21"/>
        <v>1338303</v>
      </c>
    </row>
    <row r="135" spans="1:19" ht="46.15" customHeight="1" thickBot="1" x14ac:dyDescent="0.3">
      <c r="A135" s="40">
        <v>3118311</v>
      </c>
      <c r="B135" s="9">
        <v>8311</v>
      </c>
      <c r="C135" s="221" t="s">
        <v>600</v>
      </c>
      <c r="D135" s="255" t="s">
        <v>599</v>
      </c>
      <c r="E135" s="49">
        <f t="shared" si="55"/>
        <v>300000</v>
      </c>
      <c r="F135" s="217">
        <f>0+300000</f>
        <v>300000</v>
      </c>
      <c r="G135" s="217"/>
      <c r="H135" s="217"/>
      <c r="I135" s="218"/>
      <c r="J135" s="8">
        <f t="shared" si="56"/>
        <v>0</v>
      </c>
      <c r="K135" s="218">
        <f>O135</f>
        <v>0</v>
      </c>
      <c r="L135" s="218"/>
      <c r="M135" s="218"/>
      <c r="N135" s="218"/>
      <c r="O135" s="218">
        <f>300000-300000</f>
        <v>0</v>
      </c>
      <c r="P135" s="74">
        <f t="shared" si="21"/>
        <v>300000</v>
      </c>
    </row>
    <row r="136" spans="1:19" s="35" customFormat="1" ht="42" customHeight="1" thickBot="1" x14ac:dyDescent="0.3">
      <c r="A136" s="43" t="s">
        <v>218</v>
      </c>
      <c r="B136" s="44" t="s">
        <v>16</v>
      </c>
      <c r="C136" s="44" t="s">
        <v>16</v>
      </c>
      <c r="D136" s="45" t="s">
        <v>219</v>
      </c>
      <c r="E136" s="71">
        <f>E137</f>
        <v>9846511</v>
      </c>
      <c r="F136" s="71">
        <f>F137</f>
        <v>9846511</v>
      </c>
      <c r="G136" s="71">
        <f t="shared" ref="G136:I136" si="57">G137</f>
        <v>5441736</v>
      </c>
      <c r="H136" s="71">
        <f t="shared" si="57"/>
        <v>0</v>
      </c>
      <c r="I136" s="71">
        <f t="shared" si="57"/>
        <v>0</v>
      </c>
      <c r="J136" s="10">
        <f>J137</f>
        <v>0</v>
      </c>
      <c r="K136" s="10">
        <f>K137</f>
        <v>0</v>
      </c>
      <c r="L136" s="10"/>
      <c r="M136" s="10"/>
      <c r="N136" s="10"/>
      <c r="O136" s="10"/>
      <c r="P136" s="72">
        <f>E136+J136</f>
        <v>9846511</v>
      </c>
    </row>
    <row r="137" spans="1:19" s="34" customFormat="1" ht="43.15" customHeight="1" x14ac:dyDescent="0.25">
      <c r="A137" s="63" t="s">
        <v>220</v>
      </c>
      <c r="B137" s="64" t="s">
        <v>16</v>
      </c>
      <c r="C137" s="64" t="s">
        <v>16</v>
      </c>
      <c r="D137" s="65" t="s">
        <v>219</v>
      </c>
      <c r="E137" s="51">
        <f>E138+E139</f>
        <v>9846511</v>
      </c>
      <c r="F137" s="51">
        <f>F138+F139</f>
        <v>9846511</v>
      </c>
      <c r="G137" s="51">
        <f>G138+G139</f>
        <v>5441736</v>
      </c>
      <c r="H137" s="51">
        <f>H138+H139</f>
        <v>0</v>
      </c>
      <c r="I137" s="51">
        <f t="shared" ref="I137:O137" si="58">I138+I139</f>
        <v>0</v>
      </c>
      <c r="J137" s="51">
        <f t="shared" si="58"/>
        <v>0</v>
      </c>
      <c r="K137" s="51">
        <f t="shared" si="58"/>
        <v>0</v>
      </c>
      <c r="L137" s="51">
        <f t="shared" si="58"/>
        <v>0</v>
      </c>
      <c r="M137" s="51">
        <f t="shared" si="58"/>
        <v>0</v>
      </c>
      <c r="N137" s="51">
        <f t="shared" si="58"/>
        <v>0</v>
      </c>
      <c r="O137" s="51">
        <f t="shared" si="58"/>
        <v>0</v>
      </c>
      <c r="P137" s="73">
        <f>E137+J137</f>
        <v>9846511</v>
      </c>
    </row>
    <row r="138" spans="1:19" ht="47.25" x14ac:dyDescent="0.25">
      <c r="A138" s="737" t="s">
        <v>221</v>
      </c>
      <c r="B138" s="739" t="s">
        <v>46</v>
      </c>
      <c r="C138" s="739" t="s">
        <v>19</v>
      </c>
      <c r="D138" s="30" t="s">
        <v>182</v>
      </c>
      <c r="E138" s="49">
        <f>F138+I138</f>
        <v>5646511</v>
      </c>
      <c r="F138" s="49">
        <f>4757372+848939+40200</f>
        <v>5646511</v>
      </c>
      <c r="G138" s="49">
        <f>4592797+848939</f>
        <v>5441736</v>
      </c>
      <c r="H138" s="49">
        <v>0</v>
      </c>
      <c r="I138" s="8">
        <v>0</v>
      </c>
      <c r="J138" s="14">
        <f t="shared" ref="J138:J139" si="59">K138+O138</f>
        <v>0</v>
      </c>
      <c r="K138" s="8">
        <v>0</v>
      </c>
      <c r="L138" s="8">
        <v>0</v>
      </c>
      <c r="M138" s="8">
        <v>0</v>
      </c>
      <c r="N138" s="8">
        <v>0</v>
      </c>
      <c r="O138" s="8">
        <v>0</v>
      </c>
      <c r="P138" s="74">
        <f t="shared" si="21"/>
        <v>5646511</v>
      </c>
    </row>
    <row r="139" spans="1:19" ht="25.9" customHeight="1" thickBot="1" x14ac:dyDescent="0.3">
      <c r="A139" s="737" t="s">
        <v>222</v>
      </c>
      <c r="B139" s="739" t="s">
        <v>223</v>
      </c>
      <c r="C139" s="739" t="s">
        <v>224</v>
      </c>
      <c r="D139" s="30" t="s">
        <v>225</v>
      </c>
      <c r="E139" s="49">
        <f>F139</f>
        <v>4200000</v>
      </c>
      <c r="F139" s="81">
        <v>4200000</v>
      </c>
      <c r="G139" s="49">
        <v>0</v>
      </c>
      <c r="H139" s="49">
        <v>0</v>
      </c>
      <c r="I139" s="49">
        <v>0</v>
      </c>
      <c r="J139" s="14">
        <f t="shared" si="59"/>
        <v>0</v>
      </c>
      <c r="K139" s="8">
        <v>0</v>
      </c>
      <c r="L139" s="8">
        <v>0</v>
      </c>
      <c r="M139" s="8">
        <v>0</v>
      </c>
      <c r="N139" s="8">
        <v>0</v>
      </c>
      <c r="O139" s="8">
        <v>0</v>
      </c>
      <c r="P139" s="74">
        <f t="shared" si="21"/>
        <v>4200000</v>
      </c>
    </row>
    <row r="140" spans="1:19" ht="16.5" thickBot="1" x14ac:dyDescent="0.3">
      <c r="A140" s="43" t="s">
        <v>6</v>
      </c>
      <c r="B140" s="44" t="s">
        <v>6</v>
      </c>
      <c r="C140" s="44" t="s">
        <v>6</v>
      </c>
      <c r="D140" s="82" t="s">
        <v>150</v>
      </c>
      <c r="E140" s="71">
        <f t="shared" ref="E140:O140" si="60">E23+E39+E60+E73+E77+E94+E106+E121+E125+E130+E136</f>
        <v>597339352</v>
      </c>
      <c r="F140" s="71">
        <f>F23+F39+F60+F73+F77+F94+F106+F121+F125+F130+F136</f>
        <v>597339352</v>
      </c>
      <c r="G140" s="71">
        <f>G23+G39+G60+G73+G77+G94+G106+G121+G125+G130+G136</f>
        <v>296841051</v>
      </c>
      <c r="H140" s="71">
        <f t="shared" si="60"/>
        <v>36216569</v>
      </c>
      <c r="I140" s="71">
        <f t="shared" si="60"/>
        <v>0</v>
      </c>
      <c r="J140" s="71">
        <f t="shared" si="60"/>
        <v>167966659</v>
      </c>
      <c r="K140" s="71">
        <f>K23+K39+K60+K73+K77+K94+K106+K121+K125+K130+K136</f>
        <v>156024779</v>
      </c>
      <c r="L140" s="71">
        <f t="shared" si="60"/>
        <v>10710600</v>
      </c>
      <c r="M140" s="71">
        <f>M23+M39+M60+M73+M77+M94+M106+M121+M125+M130+M136</f>
        <v>2034353</v>
      </c>
      <c r="N140" s="71">
        <f t="shared" si="60"/>
        <v>55353</v>
      </c>
      <c r="O140" s="71">
        <f t="shared" si="60"/>
        <v>157256059</v>
      </c>
      <c r="P140" s="72">
        <f>E140+J140</f>
        <v>765306011</v>
      </c>
    </row>
    <row r="141" spans="1:19" ht="9" customHeight="1" x14ac:dyDescent="0.25">
      <c r="A141" s="17"/>
      <c r="B141" s="17"/>
      <c r="C141" s="17"/>
      <c r="D141" s="18"/>
      <c r="E141" s="83"/>
      <c r="F141" s="83"/>
      <c r="G141" s="83"/>
      <c r="H141" s="83"/>
      <c r="I141" s="83"/>
      <c r="J141" s="83"/>
      <c r="K141" s="83"/>
      <c r="L141" s="83"/>
      <c r="M141" s="83"/>
      <c r="N141" s="83"/>
      <c r="O141" s="83"/>
      <c r="P141" s="83"/>
    </row>
    <row r="142" spans="1:19" ht="16.899999999999999" customHeight="1" x14ac:dyDescent="0.25"/>
    <row r="143" spans="1:19" s="29" customFormat="1" ht="17.25" customHeight="1" x14ac:dyDescent="0.2">
      <c r="A143" s="789" t="s">
        <v>389</v>
      </c>
      <c r="B143" s="789"/>
      <c r="C143" s="789"/>
      <c r="D143" s="789"/>
      <c r="E143" s="84"/>
      <c r="F143" s="84"/>
      <c r="G143" s="84"/>
      <c r="H143" s="84"/>
      <c r="I143" s="84"/>
      <c r="J143" s="84" t="s">
        <v>459</v>
      </c>
      <c r="K143" s="84"/>
      <c r="L143" s="85"/>
      <c r="M143" s="84"/>
      <c r="N143" s="84"/>
      <c r="O143" s="86"/>
      <c r="P143" s="87"/>
      <c r="S143" s="228"/>
    </row>
    <row r="144" spans="1:19" ht="16.899999999999999" customHeight="1" x14ac:dyDescent="0.25">
      <c r="E144" s="88"/>
      <c r="J144" s="88"/>
    </row>
    <row r="145" spans="7:11" x14ac:dyDescent="0.25">
      <c r="G145" s="89"/>
    </row>
    <row r="146" spans="7:11" x14ac:dyDescent="0.25">
      <c r="G146" s="89"/>
      <c r="K146" s="96"/>
    </row>
    <row r="150" spans="7:11" x14ac:dyDescent="0.25">
      <c r="G150" s="89"/>
    </row>
  </sheetData>
  <mergeCells count="31">
    <mergeCell ref="N5:O5"/>
    <mergeCell ref="A143:D143"/>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 ref="N12:O12"/>
    <mergeCell ref="I19:I21"/>
    <mergeCell ref="J19:J21"/>
    <mergeCell ref="K19:K21"/>
    <mergeCell ref="N7:P7"/>
    <mergeCell ref="N8:P8"/>
    <mergeCell ref="N9:P9"/>
    <mergeCell ref="N10:P10"/>
    <mergeCell ref="N13:P13"/>
    <mergeCell ref="L19:L21"/>
    <mergeCell ref="M19:N19"/>
    <mergeCell ref="O19:O21"/>
    <mergeCell ref="M20:M21"/>
    <mergeCell ref="N20:N21"/>
    <mergeCell ref="N11:O11"/>
  </mergeCells>
  <pageMargins left="1.1811023622047245" right="0.39370078740157483" top="0.78740157480314965" bottom="0.78740157480314965" header="0.31496062992125984" footer="0.31496062992125984"/>
  <pageSetup paperSize="9" scale="51" fitToHeight="0" orientation="landscape" r:id="rId1"/>
  <rowBreaks count="3" manualBreakCount="3">
    <brk id="101" max="15" man="1"/>
    <brk id="116" max="15" man="1"/>
    <brk id="135"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79"/>
  <sheetViews>
    <sheetView view="pageBreakPreview" zoomScale="90" zoomScaleNormal="100" zoomScaleSheetLayoutView="90" workbookViewId="0">
      <selection activeCell="J28" sqref="J28"/>
    </sheetView>
  </sheetViews>
  <sheetFormatPr defaultRowHeight="12.75" x14ac:dyDescent="0.2"/>
  <cols>
    <col min="1" max="1" width="21.140625" customWidth="1"/>
    <col min="2" max="2" width="20.7109375" customWidth="1"/>
    <col min="3" max="3" width="81.7109375" customWidth="1"/>
    <col min="4" max="4" width="25" customWidth="1"/>
    <col min="257" max="257" width="21.140625" customWidth="1"/>
    <col min="258" max="258" width="20.7109375" customWidth="1"/>
    <col min="259" max="259" width="81.7109375" customWidth="1"/>
    <col min="260" max="260" width="25" customWidth="1"/>
    <col min="513" max="513" width="21.140625" customWidth="1"/>
    <col min="514" max="514" width="20.7109375" customWidth="1"/>
    <col min="515" max="515" width="81.7109375" customWidth="1"/>
    <col min="516" max="516" width="25" customWidth="1"/>
    <col min="769" max="769" width="21.140625" customWidth="1"/>
    <col min="770" max="770" width="20.7109375" customWidth="1"/>
    <col min="771" max="771" width="81.7109375" customWidth="1"/>
    <col min="772" max="772" width="25" customWidth="1"/>
    <col min="1025" max="1025" width="21.140625" customWidth="1"/>
    <col min="1026" max="1026" width="20.7109375" customWidth="1"/>
    <col min="1027" max="1027" width="81.7109375" customWidth="1"/>
    <col min="1028" max="1028" width="25" customWidth="1"/>
    <col min="1281" max="1281" width="21.140625" customWidth="1"/>
    <col min="1282" max="1282" width="20.7109375" customWidth="1"/>
    <col min="1283" max="1283" width="81.7109375" customWidth="1"/>
    <col min="1284" max="1284" width="25" customWidth="1"/>
    <col min="1537" max="1537" width="21.140625" customWidth="1"/>
    <col min="1538" max="1538" width="20.7109375" customWidth="1"/>
    <col min="1539" max="1539" width="81.7109375" customWidth="1"/>
    <col min="1540" max="1540" width="25" customWidth="1"/>
    <col min="1793" max="1793" width="21.140625" customWidth="1"/>
    <col min="1794" max="1794" width="20.7109375" customWidth="1"/>
    <col min="1795" max="1795" width="81.7109375" customWidth="1"/>
    <col min="1796" max="1796" width="25" customWidth="1"/>
    <col min="2049" max="2049" width="21.140625" customWidth="1"/>
    <col min="2050" max="2050" width="20.7109375" customWidth="1"/>
    <col min="2051" max="2051" width="81.7109375" customWidth="1"/>
    <col min="2052" max="2052" width="25" customWidth="1"/>
    <col min="2305" max="2305" width="21.140625" customWidth="1"/>
    <col min="2306" max="2306" width="20.7109375" customWidth="1"/>
    <col min="2307" max="2307" width="81.7109375" customWidth="1"/>
    <col min="2308" max="2308" width="25" customWidth="1"/>
    <col min="2561" max="2561" width="21.140625" customWidth="1"/>
    <col min="2562" max="2562" width="20.7109375" customWidth="1"/>
    <col min="2563" max="2563" width="81.7109375" customWidth="1"/>
    <col min="2564" max="2564" width="25" customWidth="1"/>
    <col min="2817" max="2817" width="21.140625" customWidth="1"/>
    <col min="2818" max="2818" width="20.7109375" customWidth="1"/>
    <col min="2819" max="2819" width="81.7109375" customWidth="1"/>
    <col min="2820" max="2820" width="25" customWidth="1"/>
    <col min="3073" max="3073" width="21.140625" customWidth="1"/>
    <col min="3074" max="3074" width="20.7109375" customWidth="1"/>
    <col min="3075" max="3075" width="81.7109375" customWidth="1"/>
    <col min="3076" max="3076" width="25" customWidth="1"/>
    <col min="3329" max="3329" width="21.140625" customWidth="1"/>
    <col min="3330" max="3330" width="20.7109375" customWidth="1"/>
    <col min="3331" max="3331" width="81.7109375" customWidth="1"/>
    <col min="3332" max="3332" width="25" customWidth="1"/>
    <col min="3585" max="3585" width="21.140625" customWidth="1"/>
    <col min="3586" max="3586" width="20.7109375" customWidth="1"/>
    <col min="3587" max="3587" width="81.7109375" customWidth="1"/>
    <col min="3588" max="3588" width="25" customWidth="1"/>
    <col min="3841" max="3841" width="21.140625" customWidth="1"/>
    <col min="3842" max="3842" width="20.7109375" customWidth="1"/>
    <col min="3843" max="3843" width="81.7109375" customWidth="1"/>
    <col min="3844" max="3844" width="25" customWidth="1"/>
    <col min="4097" max="4097" width="21.140625" customWidth="1"/>
    <col min="4098" max="4098" width="20.7109375" customWidth="1"/>
    <col min="4099" max="4099" width="81.7109375" customWidth="1"/>
    <col min="4100" max="4100" width="25" customWidth="1"/>
    <col min="4353" max="4353" width="21.140625" customWidth="1"/>
    <col min="4354" max="4354" width="20.7109375" customWidth="1"/>
    <col min="4355" max="4355" width="81.7109375" customWidth="1"/>
    <col min="4356" max="4356" width="25" customWidth="1"/>
    <col min="4609" max="4609" width="21.140625" customWidth="1"/>
    <col min="4610" max="4610" width="20.7109375" customWidth="1"/>
    <col min="4611" max="4611" width="81.7109375" customWidth="1"/>
    <col min="4612" max="4612" width="25" customWidth="1"/>
    <col min="4865" max="4865" width="21.140625" customWidth="1"/>
    <col min="4866" max="4866" width="20.7109375" customWidth="1"/>
    <col min="4867" max="4867" width="81.7109375" customWidth="1"/>
    <col min="4868" max="4868" width="25" customWidth="1"/>
    <col min="5121" max="5121" width="21.140625" customWidth="1"/>
    <col min="5122" max="5122" width="20.7109375" customWidth="1"/>
    <col min="5123" max="5123" width="81.7109375" customWidth="1"/>
    <col min="5124" max="5124" width="25" customWidth="1"/>
    <col min="5377" max="5377" width="21.140625" customWidth="1"/>
    <col min="5378" max="5378" width="20.7109375" customWidth="1"/>
    <col min="5379" max="5379" width="81.7109375" customWidth="1"/>
    <col min="5380" max="5380" width="25" customWidth="1"/>
    <col min="5633" max="5633" width="21.140625" customWidth="1"/>
    <col min="5634" max="5634" width="20.7109375" customWidth="1"/>
    <col min="5635" max="5635" width="81.7109375" customWidth="1"/>
    <col min="5636" max="5636" width="25" customWidth="1"/>
    <col min="5889" max="5889" width="21.140625" customWidth="1"/>
    <col min="5890" max="5890" width="20.7109375" customWidth="1"/>
    <col min="5891" max="5891" width="81.7109375" customWidth="1"/>
    <col min="5892" max="5892" width="25" customWidth="1"/>
    <col min="6145" max="6145" width="21.140625" customWidth="1"/>
    <col min="6146" max="6146" width="20.7109375" customWidth="1"/>
    <col min="6147" max="6147" width="81.7109375" customWidth="1"/>
    <col min="6148" max="6148" width="25" customWidth="1"/>
    <col min="6401" max="6401" width="21.140625" customWidth="1"/>
    <col min="6402" max="6402" width="20.7109375" customWidth="1"/>
    <col min="6403" max="6403" width="81.7109375" customWidth="1"/>
    <col min="6404" max="6404" width="25" customWidth="1"/>
    <col min="6657" max="6657" width="21.140625" customWidth="1"/>
    <col min="6658" max="6658" width="20.7109375" customWidth="1"/>
    <col min="6659" max="6659" width="81.7109375" customWidth="1"/>
    <col min="6660" max="6660" width="25" customWidth="1"/>
    <col min="6913" max="6913" width="21.140625" customWidth="1"/>
    <col min="6914" max="6914" width="20.7109375" customWidth="1"/>
    <col min="6915" max="6915" width="81.7109375" customWidth="1"/>
    <col min="6916" max="6916" width="25" customWidth="1"/>
    <col min="7169" max="7169" width="21.140625" customWidth="1"/>
    <col min="7170" max="7170" width="20.7109375" customWidth="1"/>
    <col min="7171" max="7171" width="81.7109375" customWidth="1"/>
    <col min="7172" max="7172" width="25" customWidth="1"/>
    <col min="7425" max="7425" width="21.140625" customWidth="1"/>
    <col min="7426" max="7426" width="20.7109375" customWidth="1"/>
    <col min="7427" max="7427" width="81.7109375" customWidth="1"/>
    <col min="7428" max="7428" width="25" customWidth="1"/>
    <col min="7681" max="7681" width="21.140625" customWidth="1"/>
    <col min="7682" max="7682" width="20.7109375" customWidth="1"/>
    <col min="7683" max="7683" width="81.7109375" customWidth="1"/>
    <col min="7684" max="7684" width="25" customWidth="1"/>
    <col min="7937" max="7937" width="21.140625" customWidth="1"/>
    <col min="7938" max="7938" width="20.7109375" customWidth="1"/>
    <col min="7939" max="7939" width="81.7109375" customWidth="1"/>
    <col min="7940" max="7940" width="25" customWidth="1"/>
    <col min="8193" max="8193" width="21.140625" customWidth="1"/>
    <col min="8194" max="8194" width="20.7109375" customWidth="1"/>
    <col min="8195" max="8195" width="81.7109375" customWidth="1"/>
    <col min="8196" max="8196" width="25" customWidth="1"/>
    <col min="8449" max="8449" width="21.140625" customWidth="1"/>
    <col min="8450" max="8450" width="20.7109375" customWidth="1"/>
    <col min="8451" max="8451" width="81.7109375" customWidth="1"/>
    <col min="8452" max="8452" width="25" customWidth="1"/>
    <col min="8705" max="8705" width="21.140625" customWidth="1"/>
    <col min="8706" max="8706" width="20.7109375" customWidth="1"/>
    <col min="8707" max="8707" width="81.7109375" customWidth="1"/>
    <col min="8708" max="8708" width="25" customWidth="1"/>
    <col min="8961" max="8961" width="21.140625" customWidth="1"/>
    <col min="8962" max="8962" width="20.7109375" customWidth="1"/>
    <col min="8963" max="8963" width="81.7109375" customWidth="1"/>
    <col min="8964" max="8964" width="25" customWidth="1"/>
    <col min="9217" max="9217" width="21.140625" customWidth="1"/>
    <col min="9218" max="9218" width="20.7109375" customWidth="1"/>
    <col min="9219" max="9219" width="81.7109375" customWidth="1"/>
    <col min="9220" max="9220" width="25" customWidth="1"/>
    <col min="9473" max="9473" width="21.140625" customWidth="1"/>
    <col min="9474" max="9474" width="20.7109375" customWidth="1"/>
    <col min="9475" max="9475" width="81.7109375" customWidth="1"/>
    <col min="9476" max="9476" width="25" customWidth="1"/>
    <col min="9729" max="9729" width="21.140625" customWidth="1"/>
    <col min="9730" max="9730" width="20.7109375" customWidth="1"/>
    <col min="9731" max="9731" width="81.7109375" customWidth="1"/>
    <col min="9732" max="9732" width="25" customWidth="1"/>
    <col min="9985" max="9985" width="21.140625" customWidth="1"/>
    <col min="9986" max="9986" width="20.7109375" customWidth="1"/>
    <col min="9987" max="9987" width="81.7109375" customWidth="1"/>
    <col min="9988" max="9988" width="25" customWidth="1"/>
    <col min="10241" max="10241" width="21.140625" customWidth="1"/>
    <col min="10242" max="10242" width="20.7109375" customWidth="1"/>
    <col min="10243" max="10243" width="81.7109375" customWidth="1"/>
    <col min="10244" max="10244" width="25" customWidth="1"/>
    <col min="10497" max="10497" width="21.140625" customWidth="1"/>
    <col min="10498" max="10498" width="20.7109375" customWidth="1"/>
    <col min="10499" max="10499" width="81.7109375" customWidth="1"/>
    <col min="10500" max="10500" width="25" customWidth="1"/>
    <col min="10753" max="10753" width="21.140625" customWidth="1"/>
    <col min="10754" max="10754" width="20.7109375" customWidth="1"/>
    <col min="10755" max="10755" width="81.7109375" customWidth="1"/>
    <col min="10756" max="10756" width="25" customWidth="1"/>
    <col min="11009" max="11009" width="21.140625" customWidth="1"/>
    <col min="11010" max="11010" width="20.7109375" customWidth="1"/>
    <col min="11011" max="11011" width="81.7109375" customWidth="1"/>
    <col min="11012" max="11012" width="25" customWidth="1"/>
    <col min="11265" max="11265" width="21.140625" customWidth="1"/>
    <col min="11266" max="11266" width="20.7109375" customWidth="1"/>
    <col min="11267" max="11267" width="81.7109375" customWidth="1"/>
    <col min="11268" max="11268" width="25" customWidth="1"/>
    <col min="11521" max="11521" width="21.140625" customWidth="1"/>
    <col min="11522" max="11522" width="20.7109375" customWidth="1"/>
    <col min="11523" max="11523" width="81.7109375" customWidth="1"/>
    <col min="11524" max="11524" width="25" customWidth="1"/>
    <col min="11777" max="11777" width="21.140625" customWidth="1"/>
    <col min="11778" max="11778" width="20.7109375" customWidth="1"/>
    <col min="11779" max="11779" width="81.7109375" customWidth="1"/>
    <col min="11780" max="11780" width="25" customWidth="1"/>
    <col min="12033" max="12033" width="21.140625" customWidth="1"/>
    <col min="12034" max="12034" width="20.7109375" customWidth="1"/>
    <col min="12035" max="12035" width="81.7109375" customWidth="1"/>
    <col min="12036" max="12036" width="25" customWidth="1"/>
    <col min="12289" max="12289" width="21.140625" customWidth="1"/>
    <col min="12290" max="12290" width="20.7109375" customWidth="1"/>
    <col min="12291" max="12291" width="81.7109375" customWidth="1"/>
    <col min="12292" max="12292" width="25" customWidth="1"/>
    <col min="12545" max="12545" width="21.140625" customWidth="1"/>
    <col min="12546" max="12546" width="20.7109375" customWidth="1"/>
    <col min="12547" max="12547" width="81.7109375" customWidth="1"/>
    <col min="12548" max="12548" width="25" customWidth="1"/>
    <col min="12801" max="12801" width="21.140625" customWidth="1"/>
    <col min="12802" max="12802" width="20.7109375" customWidth="1"/>
    <col min="12803" max="12803" width="81.7109375" customWidth="1"/>
    <col min="12804" max="12804" width="25" customWidth="1"/>
    <col min="13057" max="13057" width="21.140625" customWidth="1"/>
    <col min="13058" max="13058" width="20.7109375" customWidth="1"/>
    <col min="13059" max="13059" width="81.7109375" customWidth="1"/>
    <col min="13060" max="13060" width="25" customWidth="1"/>
    <col min="13313" max="13313" width="21.140625" customWidth="1"/>
    <col min="13314" max="13314" width="20.7109375" customWidth="1"/>
    <col min="13315" max="13315" width="81.7109375" customWidth="1"/>
    <col min="13316" max="13316" width="25" customWidth="1"/>
    <col min="13569" max="13569" width="21.140625" customWidth="1"/>
    <col min="13570" max="13570" width="20.7109375" customWidth="1"/>
    <col min="13571" max="13571" width="81.7109375" customWidth="1"/>
    <col min="13572" max="13572" width="25" customWidth="1"/>
    <col min="13825" max="13825" width="21.140625" customWidth="1"/>
    <col min="13826" max="13826" width="20.7109375" customWidth="1"/>
    <col min="13827" max="13827" width="81.7109375" customWidth="1"/>
    <col min="13828" max="13828" width="25" customWidth="1"/>
    <col min="14081" max="14081" width="21.140625" customWidth="1"/>
    <col min="14082" max="14082" width="20.7109375" customWidth="1"/>
    <col min="14083" max="14083" width="81.7109375" customWidth="1"/>
    <col min="14084" max="14084" width="25" customWidth="1"/>
    <col min="14337" max="14337" width="21.140625" customWidth="1"/>
    <col min="14338" max="14338" width="20.7109375" customWidth="1"/>
    <col min="14339" max="14339" width="81.7109375" customWidth="1"/>
    <col min="14340" max="14340" width="25" customWidth="1"/>
    <col min="14593" max="14593" width="21.140625" customWidth="1"/>
    <col min="14594" max="14594" width="20.7109375" customWidth="1"/>
    <col min="14595" max="14595" width="81.7109375" customWidth="1"/>
    <col min="14596" max="14596" width="25" customWidth="1"/>
    <col min="14849" max="14849" width="21.140625" customWidth="1"/>
    <col min="14850" max="14850" width="20.7109375" customWidth="1"/>
    <col min="14851" max="14851" width="81.7109375" customWidth="1"/>
    <col min="14852" max="14852" width="25" customWidth="1"/>
    <col min="15105" max="15105" width="21.140625" customWidth="1"/>
    <col min="15106" max="15106" width="20.7109375" customWidth="1"/>
    <col min="15107" max="15107" width="81.7109375" customWidth="1"/>
    <col min="15108" max="15108" width="25" customWidth="1"/>
    <col min="15361" max="15361" width="21.140625" customWidth="1"/>
    <col min="15362" max="15362" width="20.7109375" customWidth="1"/>
    <col min="15363" max="15363" width="81.7109375" customWidth="1"/>
    <col min="15364" max="15364" width="25" customWidth="1"/>
    <col min="15617" max="15617" width="21.140625" customWidth="1"/>
    <col min="15618" max="15618" width="20.7109375" customWidth="1"/>
    <col min="15619" max="15619" width="81.7109375" customWidth="1"/>
    <col min="15620" max="15620" width="25" customWidth="1"/>
    <col min="15873" max="15873" width="21.140625" customWidth="1"/>
    <col min="15874" max="15874" width="20.7109375" customWidth="1"/>
    <col min="15875" max="15875" width="81.7109375" customWidth="1"/>
    <col min="15876" max="15876" width="25" customWidth="1"/>
    <col min="16129" max="16129" width="21.140625" customWidth="1"/>
    <col min="16130" max="16130" width="20.7109375" customWidth="1"/>
    <col min="16131" max="16131" width="81.7109375" customWidth="1"/>
    <col min="16132" max="16132" width="25" customWidth="1"/>
  </cols>
  <sheetData>
    <row r="1" spans="1:5" ht="15.75" x14ac:dyDescent="0.2">
      <c r="C1" s="99" t="s">
        <v>497</v>
      </c>
      <c r="D1" s="225"/>
    </row>
    <row r="2" spans="1:5" ht="15.75" x14ac:dyDescent="0.2">
      <c r="C2" s="801" t="s">
        <v>631</v>
      </c>
      <c r="D2" s="801"/>
    </row>
    <row r="3" spans="1:5" ht="15.75" x14ac:dyDescent="0.25">
      <c r="C3" s="226" t="s">
        <v>663</v>
      </c>
      <c r="D3" s="251"/>
    </row>
    <row r="4" spans="1:5" ht="15.75" x14ac:dyDescent="0.25">
      <c r="C4" s="919" t="s">
        <v>664</v>
      </c>
      <c r="D4" s="251"/>
    </row>
    <row r="5" spans="1:5" ht="15.75" x14ac:dyDescent="0.2">
      <c r="C5" s="747" t="s">
        <v>632</v>
      </c>
      <c r="D5" s="747"/>
    </row>
    <row r="6" spans="1:5" x14ac:dyDescent="0.2">
      <c r="C6" s="224"/>
    </row>
    <row r="7" spans="1:5" ht="15.75" x14ac:dyDescent="0.2">
      <c r="C7" s="458" t="s">
        <v>492</v>
      </c>
      <c r="D7" s="32"/>
      <c r="E7" s="5"/>
    </row>
    <row r="8" spans="1:5" ht="15.75" x14ac:dyDescent="0.2">
      <c r="C8" s="459" t="s">
        <v>493</v>
      </c>
      <c r="D8" s="32"/>
      <c r="E8" s="5"/>
    </row>
    <row r="9" spans="1:5" ht="15.75" x14ac:dyDescent="0.2">
      <c r="C9" s="459" t="s">
        <v>494</v>
      </c>
      <c r="D9" s="32"/>
      <c r="E9" s="5"/>
    </row>
    <row r="10" spans="1:5" ht="15.75" x14ac:dyDescent="0.2">
      <c r="C10" s="459" t="s">
        <v>495</v>
      </c>
      <c r="D10" s="32"/>
      <c r="E10" s="5"/>
    </row>
    <row r="11" spans="1:5" ht="15.75" x14ac:dyDescent="0.25">
      <c r="C11" s="149" t="s">
        <v>496</v>
      </c>
      <c r="D11" s="32"/>
      <c r="E11" s="5"/>
    </row>
    <row r="12" spans="1:5" ht="19.149999999999999" customHeight="1" x14ac:dyDescent="0.25">
      <c r="C12" s="149" t="s">
        <v>629</v>
      </c>
      <c r="D12" s="32"/>
      <c r="E12" s="5"/>
    </row>
    <row r="13" spans="1:5" ht="15.6" customHeight="1" x14ac:dyDescent="0.2">
      <c r="C13" s="804" t="s">
        <v>630</v>
      </c>
      <c r="D13" s="804"/>
      <c r="E13" s="5"/>
    </row>
    <row r="14" spans="1:5" ht="20.25" x14ac:dyDescent="0.3">
      <c r="A14" s="764" t="s">
        <v>413</v>
      </c>
      <c r="B14" s="765"/>
      <c r="C14" s="765"/>
      <c r="D14" s="765"/>
    </row>
    <row r="15" spans="1:5" ht="15.75" x14ac:dyDescent="0.25">
      <c r="A15" s="757" t="s">
        <v>166</v>
      </c>
      <c r="B15" s="805"/>
      <c r="C15" s="805"/>
      <c r="D15" s="805"/>
    </row>
    <row r="16" spans="1:5" ht="15.75" x14ac:dyDescent="0.25">
      <c r="A16" s="805" t="s">
        <v>0</v>
      </c>
      <c r="B16" s="805"/>
      <c r="C16" s="805"/>
      <c r="D16" s="805"/>
    </row>
    <row r="17" spans="1:4" ht="15.75" customHeight="1" x14ac:dyDescent="0.25">
      <c r="A17" s="460" t="s">
        <v>414</v>
      </c>
      <c r="B17" s="1"/>
      <c r="C17" s="1"/>
      <c r="D17" s="1"/>
    </row>
    <row r="18" spans="1:4" ht="14.45" customHeight="1" thickBot="1" x14ac:dyDescent="0.3">
      <c r="A18" s="1"/>
      <c r="B18" s="1"/>
      <c r="C18" s="1"/>
      <c r="D18" s="2" t="s">
        <v>283</v>
      </c>
    </row>
    <row r="19" spans="1:4" ht="25.5" customHeight="1" x14ac:dyDescent="0.2">
      <c r="A19" s="150" t="s">
        <v>415</v>
      </c>
      <c r="B19" s="806" t="s">
        <v>416</v>
      </c>
      <c r="C19" s="807"/>
      <c r="D19" s="151" t="s">
        <v>1</v>
      </c>
    </row>
    <row r="20" spans="1:4" ht="13.5" customHeight="1" x14ac:dyDescent="0.2">
      <c r="A20" s="152">
        <v>1</v>
      </c>
      <c r="B20" s="808">
        <v>2</v>
      </c>
      <c r="C20" s="809"/>
      <c r="D20" s="153">
        <v>3</v>
      </c>
    </row>
    <row r="21" spans="1:4" ht="15.75" x14ac:dyDescent="0.25">
      <c r="A21" s="810" t="s">
        <v>417</v>
      </c>
      <c r="B21" s="811"/>
      <c r="C21" s="811"/>
      <c r="D21" s="812"/>
    </row>
    <row r="22" spans="1:4" ht="65.25" customHeight="1" x14ac:dyDescent="0.25">
      <c r="A22" s="154">
        <v>41021400</v>
      </c>
      <c r="B22" s="813" t="s">
        <v>378</v>
      </c>
      <c r="C22" s="814"/>
      <c r="D22" s="155">
        <f>D23</f>
        <v>64371200</v>
      </c>
    </row>
    <row r="23" spans="1:4" ht="16.5" customHeight="1" x14ac:dyDescent="0.25">
      <c r="A23" s="161" t="s">
        <v>418</v>
      </c>
      <c r="B23" s="797" t="s">
        <v>419</v>
      </c>
      <c r="C23" s="798"/>
      <c r="D23" s="156">
        <f>53910900+10460300</f>
        <v>64371200</v>
      </c>
    </row>
    <row r="24" spans="1:4" ht="40.9" customHeight="1" x14ac:dyDescent="0.2">
      <c r="A24" s="157">
        <v>41033300</v>
      </c>
      <c r="B24" s="799" t="s">
        <v>658</v>
      </c>
      <c r="C24" s="800"/>
      <c r="D24" s="155">
        <f>D25</f>
        <v>2278000</v>
      </c>
    </row>
    <row r="25" spans="1:4" ht="16.5" customHeight="1" x14ac:dyDescent="0.25">
      <c r="A25" s="161" t="s">
        <v>418</v>
      </c>
      <c r="B25" s="797" t="s">
        <v>419</v>
      </c>
      <c r="C25" s="798"/>
      <c r="D25" s="156">
        <v>2278000</v>
      </c>
    </row>
    <row r="26" spans="1:4" ht="15.75" x14ac:dyDescent="0.2">
      <c r="A26" s="157" t="s">
        <v>381</v>
      </c>
      <c r="B26" s="158" t="s">
        <v>382</v>
      </c>
      <c r="C26" s="159"/>
      <c r="D26" s="160">
        <f>D27</f>
        <v>75510600</v>
      </c>
    </row>
    <row r="27" spans="1:4" ht="15.75" customHeight="1" x14ac:dyDescent="0.2">
      <c r="A27" s="161" t="s">
        <v>418</v>
      </c>
      <c r="B27" s="797" t="s">
        <v>419</v>
      </c>
      <c r="C27" s="798"/>
      <c r="D27" s="162">
        <v>75510600</v>
      </c>
    </row>
    <row r="28" spans="1:4" ht="15.75" customHeight="1" x14ac:dyDescent="0.2">
      <c r="A28" s="157">
        <v>41040400</v>
      </c>
      <c r="B28" s="799" t="s">
        <v>479</v>
      </c>
      <c r="C28" s="800"/>
      <c r="D28" s="160">
        <f>D29</f>
        <v>133911</v>
      </c>
    </row>
    <row r="29" spans="1:4" ht="15.75" customHeight="1" x14ac:dyDescent="0.2">
      <c r="A29" s="254">
        <v>15100000000</v>
      </c>
      <c r="B29" s="815" t="s">
        <v>420</v>
      </c>
      <c r="C29" s="816"/>
      <c r="D29" s="162">
        <f>38667+26774+23331+24056+21083</f>
        <v>133911</v>
      </c>
    </row>
    <row r="30" spans="1:4" ht="186.75" customHeight="1" x14ac:dyDescent="0.2">
      <c r="A30" s="263">
        <v>41050600</v>
      </c>
      <c r="B30" s="821" t="s">
        <v>591</v>
      </c>
      <c r="C30" s="822"/>
      <c r="D30" s="160">
        <f>D31</f>
        <v>2164782</v>
      </c>
    </row>
    <row r="31" spans="1:4" ht="15.75" customHeight="1" x14ac:dyDescent="0.2">
      <c r="A31" s="262">
        <v>15100000000</v>
      </c>
      <c r="B31" s="823" t="s">
        <v>420</v>
      </c>
      <c r="C31" s="824"/>
      <c r="D31" s="162">
        <v>2164782</v>
      </c>
    </row>
    <row r="32" spans="1:4" ht="40.9" customHeight="1" x14ac:dyDescent="0.2">
      <c r="A32" s="157" t="s">
        <v>383</v>
      </c>
      <c r="B32" s="158" t="s">
        <v>384</v>
      </c>
      <c r="C32" s="159"/>
      <c r="D32" s="160">
        <f>D33</f>
        <v>1766200</v>
      </c>
    </row>
    <row r="33" spans="1:4" ht="15.75" customHeight="1" x14ac:dyDescent="0.2">
      <c r="A33" s="161">
        <v>15100000000</v>
      </c>
      <c r="B33" s="797" t="s">
        <v>420</v>
      </c>
      <c r="C33" s="798"/>
      <c r="D33" s="162">
        <v>1766200</v>
      </c>
    </row>
    <row r="34" spans="1:4" ht="69.75" customHeight="1" x14ac:dyDescent="0.2">
      <c r="A34" s="263">
        <v>41051200</v>
      </c>
      <c r="B34" s="825" t="s">
        <v>512</v>
      </c>
      <c r="C34" s="826"/>
      <c r="D34" s="160">
        <f>D35</f>
        <v>187785</v>
      </c>
    </row>
    <row r="35" spans="1:4" ht="24.75" customHeight="1" x14ac:dyDescent="0.2">
      <c r="A35" s="262">
        <v>15100000000</v>
      </c>
      <c r="B35" s="823" t="s">
        <v>420</v>
      </c>
      <c r="C35" s="824"/>
      <c r="D35" s="162">
        <v>187785</v>
      </c>
    </row>
    <row r="36" spans="1:4" ht="66.75" customHeight="1" x14ac:dyDescent="0.25">
      <c r="A36" s="263">
        <v>41051200</v>
      </c>
      <c r="B36" s="827" t="s">
        <v>513</v>
      </c>
      <c r="C36" s="828"/>
      <c r="D36" s="160">
        <f>D37</f>
        <v>104325</v>
      </c>
    </row>
    <row r="37" spans="1:4" ht="22.5" customHeight="1" x14ac:dyDescent="0.2">
      <c r="A37" s="262">
        <v>15100000000</v>
      </c>
      <c r="B37" s="823" t="s">
        <v>420</v>
      </c>
      <c r="C37" s="824"/>
      <c r="D37" s="162">
        <v>104325</v>
      </c>
    </row>
    <row r="38" spans="1:4" ht="54" customHeight="1" x14ac:dyDescent="0.2">
      <c r="A38" s="263">
        <v>41051400</v>
      </c>
      <c r="B38" s="821" t="s">
        <v>645</v>
      </c>
      <c r="C38" s="822"/>
      <c r="D38" s="160">
        <f>D39</f>
        <v>1049568</v>
      </c>
    </row>
    <row r="39" spans="1:4" ht="22.5" customHeight="1" x14ac:dyDescent="0.2">
      <c r="A39" s="262">
        <v>15100000000</v>
      </c>
      <c r="B39" s="823" t="s">
        <v>420</v>
      </c>
      <c r="C39" s="824"/>
      <c r="D39" s="162">
        <v>1049568</v>
      </c>
    </row>
    <row r="40" spans="1:4" ht="51.75" customHeight="1" x14ac:dyDescent="0.2">
      <c r="A40" s="157">
        <v>41051700</v>
      </c>
      <c r="B40" s="799" t="s">
        <v>476</v>
      </c>
      <c r="C40" s="800"/>
      <c r="D40" s="160">
        <f>D41</f>
        <v>110550</v>
      </c>
    </row>
    <row r="41" spans="1:4" ht="15.75" customHeight="1" x14ac:dyDescent="0.2">
      <c r="A41" s="254">
        <v>15100000000</v>
      </c>
      <c r="B41" s="815" t="s">
        <v>420</v>
      </c>
      <c r="C41" s="816"/>
      <c r="D41" s="162">
        <v>110550</v>
      </c>
    </row>
    <row r="42" spans="1:4" ht="29.25" customHeight="1" x14ac:dyDescent="0.2">
      <c r="A42" s="646">
        <v>41053400</v>
      </c>
      <c r="B42" s="832" t="s">
        <v>646</v>
      </c>
      <c r="C42" s="833"/>
      <c r="D42" s="160">
        <f>D43</f>
        <v>10000000</v>
      </c>
    </row>
    <row r="43" spans="1:4" ht="15.75" customHeight="1" x14ac:dyDescent="0.2">
      <c r="A43" s="254">
        <v>15100000000</v>
      </c>
      <c r="B43" s="815" t="s">
        <v>420</v>
      </c>
      <c r="C43" s="816"/>
      <c r="D43" s="162">
        <v>10000000</v>
      </c>
    </row>
    <row r="44" spans="1:4" s="165" customFormat="1" ht="30.75" customHeight="1" x14ac:dyDescent="0.2">
      <c r="A44" s="163">
        <v>41053900</v>
      </c>
      <c r="B44" s="825" t="s">
        <v>385</v>
      </c>
      <c r="C44" s="826"/>
      <c r="D44" s="164">
        <f>D45</f>
        <v>28193</v>
      </c>
    </row>
    <row r="45" spans="1:4" s="165" customFormat="1" ht="15.75" x14ac:dyDescent="0.25">
      <c r="A45" s="166" t="s">
        <v>421</v>
      </c>
      <c r="B45" s="802" t="s">
        <v>420</v>
      </c>
      <c r="C45" s="803"/>
      <c r="D45" s="167">
        <v>28193</v>
      </c>
    </row>
    <row r="46" spans="1:4" s="165" customFormat="1" ht="30.75" customHeight="1" x14ac:dyDescent="0.2">
      <c r="A46" s="163">
        <v>41053900</v>
      </c>
      <c r="B46" s="825" t="s">
        <v>386</v>
      </c>
      <c r="C46" s="826"/>
      <c r="D46" s="168">
        <f>D47</f>
        <v>91319</v>
      </c>
    </row>
    <row r="47" spans="1:4" s="165" customFormat="1" ht="18" customHeight="1" x14ac:dyDescent="0.2">
      <c r="A47" s="166" t="s">
        <v>421</v>
      </c>
      <c r="B47" s="815" t="s">
        <v>420</v>
      </c>
      <c r="C47" s="816"/>
      <c r="D47" s="167">
        <v>91319</v>
      </c>
    </row>
    <row r="48" spans="1:4" s="165" customFormat="1" ht="49.15" customHeight="1" x14ac:dyDescent="0.2">
      <c r="A48" s="163">
        <v>41053900</v>
      </c>
      <c r="B48" s="825" t="s">
        <v>387</v>
      </c>
      <c r="C48" s="826"/>
      <c r="D48" s="168">
        <f>D49</f>
        <v>17623</v>
      </c>
    </row>
    <row r="49" spans="1:4" s="165" customFormat="1" ht="15.75" x14ac:dyDescent="0.25">
      <c r="A49" s="166" t="s">
        <v>421</v>
      </c>
      <c r="B49" s="802" t="s">
        <v>420</v>
      </c>
      <c r="C49" s="803"/>
      <c r="D49" s="167">
        <v>17623</v>
      </c>
    </row>
    <row r="50" spans="1:4" s="165" customFormat="1" ht="46.15" customHeight="1" x14ac:dyDescent="0.2">
      <c r="A50" s="252" t="s">
        <v>486</v>
      </c>
      <c r="B50" s="825" t="s">
        <v>477</v>
      </c>
      <c r="C50" s="826"/>
      <c r="D50" s="253">
        <f>D51</f>
        <v>166311</v>
      </c>
    </row>
    <row r="51" spans="1:4" ht="15.75" x14ac:dyDescent="0.2">
      <c r="A51" s="254">
        <v>15100000000</v>
      </c>
      <c r="B51" s="815" t="s">
        <v>420</v>
      </c>
      <c r="C51" s="816"/>
      <c r="D51" s="169">
        <v>166311</v>
      </c>
    </row>
    <row r="52" spans="1:4" ht="15.75" x14ac:dyDescent="0.25">
      <c r="A52" s="810" t="s">
        <v>422</v>
      </c>
      <c r="B52" s="811"/>
      <c r="C52" s="811"/>
      <c r="D52" s="812"/>
    </row>
    <row r="53" spans="1:4" ht="37.15" customHeight="1" x14ac:dyDescent="0.25">
      <c r="A53" s="208">
        <v>41051100</v>
      </c>
      <c r="B53" s="799" t="s">
        <v>434</v>
      </c>
      <c r="C53" s="800"/>
      <c r="D53" s="209">
        <f>D54</f>
        <v>1620780</v>
      </c>
    </row>
    <row r="54" spans="1:4" ht="15.75" x14ac:dyDescent="0.25">
      <c r="A54" s="166" t="s">
        <v>421</v>
      </c>
      <c r="B54" s="815" t="s">
        <v>420</v>
      </c>
      <c r="C54" s="816"/>
      <c r="D54" s="156">
        <f>696780+924000</f>
        <v>1620780</v>
      </c>
    </row>
    <row r="55" spans="1:4" s="171" customFormat="1" ht="9" customHeight="1" x14ac:dyDescent="0.2">
      <c r="A55" s="157"/>
      <c r="B55" s="158"/>
      <c r="C55" s="159"/>
      <c r="D55" s="170"/>
    </row>
    <row r="56" spans="1:4" ht="15.75" x14ac:dyDescent="0.25">
      <c r="A56" s="461" t="s">
        <v>6</v>
      </c>
      <c r="B56" s="172" t="s">
        <v>423</v>
      </c>
      <c r="C56" s="159"/>
      <c r="D56" s="173">
        <f>D57+D58</f>
        <v>159601147</v>
      </c>
    </row>
    <row r="57" spans="1:4" ht="15.75" x14ac:dyDescent="0.25">
      <c r="A57" s="461" t="s">
        <v>6</v>
      </c>
      <c r="B57" s="172" t="s">
        <v>424</v>
      </c>
      <c r="C57" s="159"/>
      <c r="D57" s="173">
        <f>D22+D26+D32+D34+D30+D36+D44+D46+D48+D50+D40+D28+D24+D38+D42</f>
        <v>157980367</v>
      </c>
    </row>
    <row r="58" spans="1:4" ht="15.75" x14ac:dyDescent="0.25">
      <c r="A58" s="461" t="s">
        <v>6</v>
      </c>
      <c r="B58" s="172" t="s">
        <v>425</v>
      </c>
      <c r="C58" s="159"/>
      <c r="D58" s="173">
        <f>D53</f>
        <v>1620780</v>
      </c>
    </row>
    <row r="59" spans="1:4" ht="21.95" customHeight="1" x14ac:dyDescent="0.25">
      <c r="A59" s="174" t="s">
        <v>426</v>
      </c>
      <c r="B59" s="1"/>
      <c r="C59" s="1"/>
      <c r="D59" s="175" t="s">
        <v>283</v>
      </c>
    </row>
    <row r="60" spans="1:4" ht="60.75" customHeight="1" x14ac:dyDescent="0.2">
      <c r="A60" s="176" t="s">
        <v>427</v>
      </c>
      <c r="B60" s="177" t="s">
        <v>428</v>
      </c>
      <c r="C60" s="178" t="s">
        <v>429</v>
      </c>
      <c r="D60" s="179" t="s">
        <v>1</v>
      </c>
    </row>
    <row r="61" spans="1:4" ht="15.75" x14ac:dyDescent="0.2">
      <c r="A61" s="180">
        <v>1</v>
      </c>
      <c r="B61" s="181">
        <v>2</v>
      </c>
      <c r="C61" s="181">
        <v>3</v>
      </c>
      <c r="D61" s="182">
        <v>4</v>
      </c>
    </row>
    <row r="62" spans="1:4" ht="15.75" customHeight="1" x14ac:dyDescent="0.25">
      <c r="A62" s="829" t="s">
        <v>430</v>
      </c>
      <c r="B62" s="830"/>
      <c r="C62" s="831"/>
      <c r="D62" s="183"/>
    </row>
    <row r="63" spans="1:4" s="185" customFormat="1" ht="37.9" hidden="1" customHeight="1" x14ac:dyDescent="0.25">
      <c r="A63" s="462">
        <v>41053900</v>
      </c>
      <c r="B63" s="463">
        <v>9770</v>
      </c>
      <c r="C63" s="184" t="s">
        <v>431</v>
      </c>
      <c r="D63" s="183">
        <f>D64</f>
        <v>0</v>
      </c>
    </row>
    <row r="64" spans="1:4" ht="24" hidden="1" customHeight="1" x14ac:dyDescent="0.25">
      <c r="A64" s="161">
        <v>15327200000</v>
      </c>
      <c r="B64" s="186"/>
      <c r="C64" s="187" t="s">
        <v>432</v>
      </c>
      <c r="D64" s="188">
        <f>300000-300000</f>
        <v>0</v>
      </c>
    </row>
    <row r="65" spans="1:16" ht="34.15" customHeight="1" x14ac:dyDescent="0.25">
      <c r="A65" s="210" t="s">
        <v>436</v>
      </c>
      <c r="B65" s="211">
        <v>9800</v>
      </c>
      <c r="C65" s="212" t="s">
        <v>437</v>
      </c>
      <c r="D65" s="183">
        <f>D66</f>
        <v>39892364</v>
      </c>
    </row>
    <row r="66" spans="1:16" ht="15" customHeight="1" x14ac:dyDescent="0.25">
      <c r="A66" s="213" t="s">
        <v>418</v>
      </c>
      <c r="B66" s="214">
        <v>9800</v>
      </c>
      <c r="C66" s="215" t="s">
        <v>419</v>
      </c>
      <c r="D66" s="188">
        <f>5000000+1500000+521164+850000+63000+30300+14500000-1300000+428000+10000000+1000000+4000000+1299900+2000000</f>
        <v>39892364</v>
      </c>
    </row>
    <row r="67" spans="1:16" ht="18" customHeight="1" x14ac:dyDescent="0.25">
      <c r="A67" s="468" t="s">
        <v>601</v>
      </c>
      <c r="B67" s="465">
        <v>9770</v>
      </c>
      <c r="C67" s="469" t="s">
        <v>602</v>
      </c>
      <c r="D67" s="470">
        <f>D68</f>
        <v>180000</v>
      </c>
    </row>
    <row r="68" spans="1:16" ht="16.5" customHeight="1" x14ac:dyDescent="0.25">
      <c r="A68" s="262">
        <v>15327200000</v>
      </c>
      <c r="B68" s="471">
        <v>9770</v>
      </c>
      <c r="C68" s="472" t="s">
        <v>432</v>
      </c>
      <c r="D68" s="189">
        <v>180000</v>
      </c>
    </row>
    <row r="69" spans="1:16" ht="20.100000000000001" customHeight="1" x14ac:dyDescent="0.25">
      <c r="A69" s="817" t="s">
        <v>433</v>
      </c>
      <c r="B69" s="818"/>
      <c r="C69" s="818"/>
      <c r="D69" s="812"/>
    </row>
    <row r="70" spans="1:16" ht="34.9" customHeight="1" x14ac:dyDescent="0.25">
      <c r="A70" s="210" t="s">
        <v>436</v>
      </c>
      <c r="B70" s="211">
        <v>9800</v>
      </c>
      <c r="C70" s="212" t="s">
        <v>437</v>
      </c>
      <c r="D70" s="183">
        <f>D71</f>
        <v>45195400</v>
      </c>
    </row>
    <row r="71" spans="1:16" ht="17.25" customHeight="1" x14ac:dyDescent="0.25">
      <c r="A71" s="213" t="s">
        <v>418</v>
      </c>
      <c r="B71" s="214">
        <v>9800</v>
      </c>
      <c r="C71" s="215" t="s">
        <v>419</v>
      </c>
      <c r="D71" s="188">
        <f>1000000+150000+2937000+26000+310400+13500000+1300000+4572000+4000000-4000000+5000000+3000000+1000000+2500000+900000+1000000+3000000+5000000</f>
        <v>45195400</v>
      </c>
    </row>
    <row r="72" spans="1:16" ht="11.25" customHeight="1" x14ac:dyDescent="0.25">
      <c r="A72" s="213"/>
      <c r="B72" s="214"/>
      <c r="C72" s="227"/>
      <c r="D72" s="188"/>
    </row>
    <row r="73" spans="1:16" ht="15.75" x14ac:dyDescent="0.25">
      <c r="A73" s="190" t="s">
        <v>6</v>
      </c>
      <c r="B73" s="191" t="s">
        <v>6</v>
      </c>
      <c r="C73" s="172" t="s">
        <v>423</v>
      </c>
      <c r="D73" s="183">
        <f>D74+D75</f>
        <v>85267764</v>
      </c>
    </row>
    <row r="74" spans="1:16" ht="21" customHeight="1" x14ac:dyDescent="0.25">
      <c r="A74" s="190" t="s">
        <v>6</v>
      </c>
      <c r="B74" s="191" t="s">
        <v>6</v>
      </c>
      <c r="C74" s="172" t="s">
        <v>424</v>
      </c>
      <c r="D74" s="192">
        <f>D65+D67</f>
        <v>40072364</v>
      </c>
    </row>
    <row r="75" spans="1:16" ht="18" customHeight="1" thickBot="1" x14ac:dyDescent="0.3">
      <c r="A75" s="193" t="s">
        <v>6</v>
      </c>
      <c r="B75" s="194" t="s">
        <v>6</v>
      </c>
      <c r="C75" s="195" t="s">
        <v>425</v>
      </c>
      <c r="D75" s="196">
        <f>D70</f>
        <v>45195400</v>
      </c>
    </row>
    <row r="76" spans="1:16" ht="15.75" hidden="1" x14ac:dyDescent="0.25">
      <c r="A76" s="1"/>
      <c r="B76" s="1"/>
      <c r="C76" s="1"/>
      <c r="D76" s="1"/>
    </row>
    <row r="77" spans="1:16" s="103" customFormat="1" ht="42.6" customHeight="1" x14ac:dyDescent="0.25">
      <c r="A77" s="819" t="s">
        <v>464</v>
      </c>
      <c r="B77" s="819"/>
      <c r="C77" s="819"/>
      <c r="D77" s="819"/>
      <c r="E77" s="820"/>
      <c r="F77" s="820"/>
      <c r="G77" s="197"/>
      <c r="H77" s="197"/>
      <c r="I77" s="197"/>
      <c r="K77" s="197"/>
      <c r="L77" s="198"/>
      <c r="M77" s="197"/>
      <c r="N77" s="464"/>
      <c r="O77" s="199"/>
      <c r="P77" s="200"/>
    </row>
    <row r="78" spans="1:16" s="203" customFormat="1" ht="20.45" customHeight="1" x14ac:dyDescent="0.3">
      <c r="A78" s="201"/>
      <c r="B78" s="202"/>
      <c r="C78" s="1"/>
      <c r="D78" s="202"/>
    </row>
    <row r="79" spans="1:16" ht="15.75" x14ac:dyDescent="0.25">
      <c r="A79" s="1"/>
      <c r="B79" s="1"/>
      <c r="D79" s="1"/>
    </row>
  </sheetData>
  <mergeCells count="44">
    <mergeCell ref="B44:C44"/>
    <mergeCell ref="B28:C28"/>
    <mergeCell ref="B29:C29"/>
    <mergeCell ref="B37:C37"/>
    <mergeCell ref="B40:C40"/>
    <mergeCell ref="B42:C42"/>
    <mergeCell ref="B47:C47"/>
    <mergeCell ref="B48:C48"/>
    <mergeCell ref="B49:C49"/>
    <mergeCell ref="A52:D52"/>
    <mergeCell ref="B50:C50"/>
    <mergeCell ref="B51:C51"/>
    <mergeCell ref="B27:C27"/>
    <mergeCell ref="A69:D69"/>
    <mergeCell ref="A77:D77"/>
    <mergeCell ref="E77:F77"/>
    <mergeCell ref="B41:C41"/>
    <mergeCell ref="B30:C30"/>
    <mergeCell ref="B31:C31"/>
    <mergeCell ref="B34:C34"/>
    <mergeCell ref="B35:C35"/>
    <mergeCell ref="B36:C36"/>
    <mergeCell ref="B38:C38"/>
    <mergeCell ref="B39:C39"/>
    <mergeCell ref="B53:C53"/>
    <mergeCell ref="B54:C54"/>
    <mergeCell ref="A62:C62"/>
    <mergeCell ref="B46:C46"/>
    <mergeCell ref="B25:C25"/>
    <mergeCell ref="B24:C24"/>
    <mergeCell ref="C2:D2"/>
    <mergeCell ref="C5:D5"/>
    <mergeCell ref="B45:C45"/>
    <mergeCell ref="C13:D13"/>
    <mergeCell ref="A14:D14"/>
    <mergeCell ref="A15:D15"/>
    <mergeCell ref="A16:D16"/>
    <mergeCell ref="B19:C19"/>
    <mergeCell ref="B20:C20"/>
    <mergeCell ref="A21:D21"/>
    <mergeCell ref="B22:C22"/>
    <mergeCell ref="B23:C23"/>
    <mergeCell ref="B33:C33"/>
    <mergeCell ref="B43:C43"/>
  </mergeCells>
  <pageMargins left="1.1811023622047245" right="0.39370078740157483" top="0.78740157480314965" bottom="0.78740157480314965" header="0.31496062992125984" footer="0.31496062992125984"/>
  <pageSetup paperSize="9" scale="50" orientation="portrait" r:id="rId1"/>
  <rowBreaks count="1" manualBreakCount="1">
    <brk id="51"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6"/>
  <sheetViews>
    <sheetView tabSelected="1" view="pageBreakPreview" zoomScale="80" zoomScaleNormal="80" zoomScaleSheetLayoutView="80" workbookViewId="0">
      <selection activeCell="M124" sqref="M124"/>
    </sheetView>
  </sheetViews>
  <sheetFormatPr defaultColWidth="9.140625" defaultRowHeight="15" x14ac:dyDescent="0.25"/>
  <cols>
    <col min="1" max="1" width="13" style="674" customWidth="1"/>
    <col min="2" max="2" width="12.5703125" style="674" customWidth="1"/>
    <col min="3" max="3" width="13.42578125" style="674" customWidth="1"/>
    <col min="4" max="4" width="38.5703125" style="674" customWidth="1"/>
    <col min="5" max="5" width="43.85546875" style="674" customWidth="1"/>
    <col min="6" max="6" width="42.140625" style="674" customWidth="1"/>
    <col min="7" max="7" width="14" style="674" customWidth="1"/>
    <col min="8" max="8" width="14.7109375" style="674" customWidth="1"/>
    <col min="9" max="9" width="14.5703125" style="674" customWidth="1"/>
    <col min="10" max="10" width="14.85546875" style="674" customWidth="1"/>
    <col min="11" max="16384" width="9.140625" style="674"/>
  </cols>
  <sheetData>
    <row r="1" spans="1:10" s="673" customFormat="1" ht="15.75" x14ac:dyDescent="0.25">
      <c r="D1" s="674"/>
      <c r="E1" s="674"/>
      <c r="F1" s="675"/>
      <c r="H1" s="99" t="s">
        <v>465</v>
      </c>
      <c r="I1" s="676"/>
    </row>
    <row r="2" spans="1:10" s="673" customFormat="1" ht="15.75" x14ac:dyDescent="0.25">
      <c r="D2" s="674"/>
      <c r="E2" s="674"/>
      <c r="F2" s="675"/>
      <c r="H2" s="99" t="s">
        <v>281</v>
      </c>
      <c r="I2" s="676"/>
    </row>
    <row r="3" spans="1:10" s="673" customFormat="1" ht="15.75" x14ac:dyDescent="0.25">
      <c r="D3" s="674"/>
      <c r="E3" s="674"/>
      <c r="F3" s="675"/>
      <c r="H3" s="100" t="s">
        <v>661</v>
      </c>
      <c r="I3" s="677"/>
    </row>
    <row r="4" spans="1:10" s="673" customFormat="1" ht="15.75" x14ac:dyDescent="0.25">
      <c r="D4" s="674"/>
      <c r="E4" s="674"/>
      <c r="F4" s="675"/>
      <c r="H4" s="101" t="s">
        <v>662</v>
      </c>
      <c r="I4" s="678"/>
    </row>
    <row r="5" spans="1:10" s="673" customFormat="1" ht="15.75" x14ac:dyDescent="0.25">
      <c r="D5" s="674"/>
      <c r="E5" s="674"/>
      <c r="F5" s="675"/>
      <c r="H5" s="747" t="s">
        <v>470</v>
      </c>
      <c r="I5" s="747"/>
    </row>
    <row r="7" spans="1:10" ht="15.75" x14ac:dyDescent="0.25">
      <c r="H7" s="99" t="s">
        <v>471</v>
      </c>
      <c r="I7" s="676"/>
      <c r="J7" s="675"/>
    </row>
    <row r="8" spans="1:10" ht="15.75" x14ac:dyDescent="0.25">
      <c r="H8" s="99" t="s">
        <v>7</v>
      </c>
      <c r="I8" s="676"/>
      <c r="J8" s="675"/>
    </row>
    <row r="9" spans="1:10" ht="15.75" x14ac:dyDescent="0.25">
      <c r="H9" s="99" t="s">
        <v>8</v>
      </c>
      <c r="I9" s="676"/>
      <c r="J9" s="675"/>
    </row>
    <row r="10" spans="1:10" ht="15.75" x14ac:dyDescent="0.25">
      <c r="H10" s="99" t="s">
        <v>228</v>
      </c>
      <c r="I10" s="676"/>
      <c r="J10" s="675"/>
    </row>
    <row r="11" spans="1:10" ht="15.75" x14ac:dyDescent="0.25">
      <c r="H11" s="679" t="s">
        <v>466</v>
      </c>
      <c r="I11" s="677"/>
      <c r="J11" s="675"/>
    </row>
    <row r="12" spans="1:10" ht="15.75" x14ac:dyDescent="0.25">
      <c r="H12" s="679" t="s">
        <v>276</v>
      </c>
      <c r="I12" s="678"/>
      <c r="J12" s="675"/>
    </row>
    <row r="13" spans="1:10" ht="15.75" x14ac:dyDescent="0.25">
      <c r="H13" s="675" t="s">
        <v>284</v>
      </c>
      <c r="I13" s="99"/>
      <c r="J13" s="675"/>
    </row>
    <row r="14" spans="1:10" ht="15.75" x14ac:dyDescent="0.25">
      <c r="I14" s="675"/>
      <c r="J14" s="680"/>
    </row>
    <row r="15" spans="1:10" ht="15.75" x14ac:dyDescent="0.25">
      <c r="H15" s="675"/>
      <c r="I15" s="675"/>
      <c r="J15" s="680"/>
    </row>
    <row r="16" spans="1:10" ht="20.25" x14ac:dyDescent="0.3">
      <c r="A16" s="838" t="s">
        <v>229</v>
      </c>
      <c r="B16" s="839"/>
      <c r="C16" s="839"/>
      <c r="D16" s="839"/>
      <c r="E16" s="839"/>
      <c r="F16" s="839"/>
      <c r="G16" s="839"/>
      <c r="H16" s="839"/>
      <c r="I16" s="839"/>
      <c r="J16" s="839"/>
    </row>
    <row r="18" spans="1:10" ht="15.75" x14ac:dyDescent="0.25">
      <c r="A18" s="840">
        <v>1559100000</v>
      </c>
      <c r="B18" s="840"/>
      <c r="C18" s="498"/>
      <c r="D18" s="498"/>
      <c r="E18" s="498"/>
      <c r="F18" s="498"/>
      <c r="G18" s="498"/>
      <c r="H18" s="498"/>
      <c r="I18" s="498"/>
      <c r="J18" s="498"/>
    </row>
    <row r="19" spans="1:10" ht="16.5" thickBot="1" x14ac:dyDescent="0.3">
      <c r="A19" s="497" t="s">
        <v>0</v>
      </c>
      <c r="B19" s="497"/>
      <c r="C19" s="498"/>
      <c r="D19" s="498"/>
      <c r="E19" s="498"/>
      <c r="F19" s="498"/>
      <c r="G19" s="498"/>
      <c r="H19" s="498"/>
      <c r="I19" s="498"/>
      <c r="J19" s="499" t="s">
        <v>9</v>
      </c>
    </row>
    <row r="20" spans="1:10" ht="15.75" x14ac:dyDescent="0.25">
      <c r="A20" s="841" t="s">
        <v>10</v>
      </c>
      <c r="B20" s="843" t="s">
        <v>11</v>
      </c>
      <c r="C20" s="843" t="s">
        <v>12</v>
      </c>
      <c r="D20" s="845" t="s">
        <v>13</v>
      </c>
      <c r="E20" s="835" t="s">
        <v>151</v>
      </c>
      <c r="F20" s="835" t="s">
        <v>152</v>
      </c>
      <c r="G20" s="835" t="s">
        <v>1</v>
      </c>
      <c r="H20" s="835" t="s">
        <v>2</v>
      </c>
      <c r="I20" s="835" t="s">
        <v>3</v>
      </c>
      <c r="J20" s="837"/>
    </row>
    <row r="21" spans="1:10" ht="112.15" customHeight="1" thickBot="1" x14ac:dyDescent="0.3">
      <c r="A21" s="842"/>
      <c r="B21" s="844"/>
      <c r="C21" s="844"/>
      <c r="D21" s="846"/>
      <c r="E21" s="836"/>
      <c r="F21" s="836"/>
      <c r="G21" s="836"/>
      <c r="H21" s="836"/>
      <c r="I21" s="645" t="s">
        <v>4</v>
      </c>
      <c r="J21" s="500" t="s">
        <v>5</v>
      </c>
    </row>
    <row r="22" spans="1:10" ht="16.5" thickBot="1" x14ac:dyDescent="0.3">
      <c r="A22" s="501">
        <v>1</v>
      </c>
      <c r="B22" s="502">
        <v>2</v>
      </c>
      <c r="C22" s="502">
        <v>3</v>
      </c>
      <c r="D22" s="503">
        <v>4</v>
      </c>
      <c r="E22" s="502">
        <v>5</v>
      </c>
      <c r="F22" s="502">
        <v>6</v>
      </c>
      <c r="G22" s="502">
        <v>7</v>
      </c>
      <c r="H22" s="502">
        <v>8</v>
      </c>
      <c r="I22" s="504">
        <v>9</v>
      </c>
      <c r="J22" s="505">
        <v>10</v>
      </c>
    </row>
    <row r="23" spans="1:10" ht="48" thickBot="1" x14ac:dyDescent="0.3">
      <c r="A23" s="506" t="s">
        <v>15</v>
      </c>
      <c r="B23" s="507" t="s">
        <v>16</v>
      </c>
      <c r="C23" s="507" t="s">
        <v>16</v>
      </c>
      <c r="D23" s="508" t="s">
        <v>17</v>
      </c>
      <c r="E23" s="509" t="s">
        <v>16</v>
      </c>
      <c r="F23" s="509" t="s">
        <v>16</v>
      </c>
      <c r="G23" s="510">
        <f>H23+I23</f>
        <v>138907955</v>
      </c>
      <c r="H23" s="510">
        <f>H24</f>
        <v>90213191</v>
      </c>
      <c r="I23" s="510">
        <f>I24</f>
        <v>48694764</v>
      </c>
      <c r="J23" s="511">
        <f>J24</f>
        <v>48694764</v>
      </c>
    </row>
    <row r="24" spans="1:10" ht="47.25" x14ac:dyDescent="0.25">
      <c r="A24" s="512" t="s">
        <v>18</v>
      </c>
      <c r="B24" s="513" t="s">
        <v>16</v>
      </c>
      <c r="C24" s="513" t="s">
        <v>16</v>
      </c>
      <c r="D24" s="514" t="s">
        <v>17</v>
      </c>
      <c r="E24" s="515" t="s">
        <v>16</v>
      </c>
      <c r="F24" s="515" t="s">
        <v>16</v>
      </c>
      <c r="G24" s="516">
        <f>H24+I24</f>
        <v>138907955</v>
      </c>
      <c r="H24" s="516">
        <f>H25+H26+H27+H28+H29+H30+H31+H33+H35+H34+H36+H37+H38+H40+H32+H39</f>
        <v>90213191</v>
      </c>
      <c r="I24" s="516">
        <f>I25+I26+I27+I28+I29+I30+I31+I33+I35+I34+I36+I37+I38+I40+I32+I39</f>
        <v>48694764</v>
      </c>
      <c r="J24" s="516">
        <f>J25+J26+J27+J28+J29+J30+J31+J33+J35+J34+J36+J37+J38+J40+J32+J39</f>
        <v>48694764</v>
      </c>
    </row>
    <row r="25" spans="1:10" ht="92.25" customHeight="1" x14ac:dyDescent="0.25">
      <c r="A25" s="453" t="s">
        <v>173</v>
      </c>
      <c r="B25" s="517" t="s">
        <v>174</v>
      </c>
      <c r="C25" s="517" t="s">
        <v>19</v>
      </c>
      <c r="D25" s="518" t="s">
        <v>175</v>
      </c>
      <c r="E25" s="518" t="s">
        <v>263</v>
      </c>
      <c r="F25" s="518" t="s">
        <v>452</v>
      </c>
      <c r="G25" s="519">
        <f t="shared" ref="G25:G92" si="0">H25+I25</f>
        <v>227652</v>
      </c>
      <c r="H25" s="519">
        <v>227652</v>
      </c>
      <c r="I25" s="520">
        <v>0</v>
      </c>
      <c r="J25" s="521">
        <v>0</v>
      </c>
    </row>
    <row r="26" spans="1:10" ht="137.25" customHeight="1" x14ac:dyDescent="0.25">
      <c r="A26" s="522" t="s">
        <v>447</v>
      </c>
      <c r="B26" s="523" t="s">
        <v>226</v>
      </c>
      <c r="C26" s="523" t="s">
        <v>224</v>
      </c>
      <c r="D26" s="524" t="s">
        <v>230</v>
      </c>
      <c r="E26" s="525" t="s">
        <v>231</v>
      </c>
      <c r="F26" s="518" t="s">
        <v>498</v>
      </c>
      <c r="G26" s="526">
        <f t="shared" si="0"/>
        <v>109000</v>
      </c>
      <c r="H26" s="526">
        <f>141000-32000</f>
        <v>109000</v>
      </c>
      <c r="I26" s="516">
        <v>0</v>
      </c>
      <c r="J26" s="527">
        <v>0</v>
      </c>
    </row>
    <row r="27" spans="1:10" ht="61.5" customHeight="1" x14ac:dyDescent="0.25">
      <c r="A27" s="453" t="s">
        <v>20</v>
      </c>
      <c r="B27" s="517" t="s">
        <v>21</v>
      </c>
      <c r="C27" s="517" t="s">
        <v>22</v>
      </c>
      <c r="D27" s="528" t="s">
        <v>23</v>
      </c>
      <c r="E27" s="518" t="s">
        <v>163</v>
      </c>
      <c r="F27" s="518" t="s">
        <v>666</v>
      </c>
      <c r="G27" s="519">
        <f t="shared" si="0"/>
        <v>10671826</v>
      </c>
      <c r="H27" s="519">
        <v>8498226</v>
      </c>
      <c r="I27" s="519">
        <f>J27</f>
        <v>2173600</v>
      </c>
      <c r="J27" s="529">
        <f>0+2173600</f>
        <v>2173600</v>
      </c>
    </row>
    <row r="28" spans="1:10" ht="61.5" customHeight="1" x14ac:dyDescent="0.25">
      <c r="A28" s="453" t="s">
        <v>20</v>
      </c>
      <c r="B28" s="517" t="s">
        <v>21</v>
      </c>
      <c r="C28" s="517" t="s">
        <v>22</v>
      </c>
      <c r="D28" s="528" t="s">
        <v>23</v>
      </c>
      <c r="E28" s="518" t="s">
        <v>162</v>
      </c>
      <c r="F28" s="518" t="s">
        <v>623</v>
      </c>
      <c r="G28" s="519">
        <f t="shared" si="0"/>
        <v>14427648</v>
      </c>
      <c r="H28" s="519">
        <v>14427648</v>
      </c>
      <c r="I28" s="519">
        <v>0</v>
      </c>
      <c r="J28" s="529">
        <v>0</v>
      </c>
    </row>
    <row r="29" spans="1:10" ht="60.75" customHeight="1" x14ac:dyDescent="0.25">
      <c r="A29" s="453" t="s">
        <v>24</v>
      </c>
      <c r="B29" s="517" t="s">
        <v>25</v>
      </c>
      <c r="C29" s="517" t="s">
        <v>26</v>
      </c>
      <c r="D29" s="528" t="s">
        <v>27</v>
      </c>
      <c r="E29" s="518" t="s">
        <v>232</v>
      </c>
      <c r="F29" s="518" t="s">
        <v>665</v>
      </c>
      <c r="G29" s="519">
        <f t="shared" si="0"/>
        <v>991849</v>
      </c>
      <c r="H29" s="519">
        <f>556580+62869</f>
        <v>619449</v>
      </c>
      <c r="I29" s="519">
        <f>J29</f>
        <v>372400</v>
      </c>
      <c r="J29" s="529">
        <f>372400</f>
        <v>372400</v>
      </c>
    </row>
    <row r="30" spans="1:10" ht="63" customHeight="1" x14ac:dyDescent="0.25">
      <c r="A30" s="530" t="s">
        <v>236</v>
      </c>
      <c r="B30" s="531">
        <v>2152</v>
      </c>
      <c r="C30" s="532" t="s">
        <v>237</v>
      </c>
      <c r="D30" s="533" t="s">
        <v>254</v>
      </c>
      <c r="E30" s="534" t="s">
        <v>233</v>
      </c>
      <c r="F30" s="535" t="s">
        <v>624</v>
      </c>
      <c r="G30" s="536">
        <f t="shared" si="0"/>
        <v>3407103</v>
      </c>
      <c r="H30" s="536">
        <f>2810623+596480</f>
        <v>3407103</v>
      </c>
      <c r="I30" s="519">
        <f t="shared" ref="I30:I35" si="1">J30</f>
        <v>0</v>
      </c>
      <c r="J30" s="537">
        <v>0</v>
      </c>
    </row>
    <row r="31" spans="1:10" ht="57.75" customHeight="1" x14ac:dyDescent="0.25">
      <c r="A31" s="453" t="s">
        <v>31</v>
      </c>
      <c r="B31" s="517" t="s">
        <v>32</v>
      </c>
      <c r="C31" s="517" t="s">
        <v>33</v>
      </c>
      <c r="D31" s="518" t="s">
        <v>34</v>
      </c>
      <c r="E31" s="518" t="s">
        <v>450</v>
      </c>
      <c r="F31" s="518" t="s">
        <v>500</v>
      </c>
      <c r="G31" s="519">
        <f t="shared" si="0"/>
        <v>409910</v>
      </c>
      <c r="H31" s="519">
        <f>72000+284546</f>
        <v>356546</v>
      </c>
      <c r="I31" s="519">
        <f t="shared" si="1"/>
        <v>53364</v>
      </c>
      <c r="J31" s="529">
        <f>53364</f>
        <v>53364</v>
      </c>
    </row>
    <row r="32" spans="1:10" ht="79.5" customHeight="1" x14ac:dyDescent="0.25">
      <c r="A32" s="453">
        <v>218110</v>
      </c>
      <c r="B32" s="517">
        <v>8110</v>
      </c>
      <c r="C32" s="523" t="s">
        <v>239</v>
      </c>
      <c r="D32" s="610" t="s">
        <v>240</v>
      </c>
      <c r="E32" s="518" t="s">
        <v>613</v>
      </c>
      <c r="F32" s="518" t="s">
        <v>667</v>
      </c>
      <c r="G32" s="519">
        <f>H32+I32</f>
        <v>1157300</v>
      </c>
      <c r="H32" s="519">
        <f>0+111980+1045320</f>
        <v>1157300</v>
      </c>
      <c r="I32" s="519">
        <f t="shared" si="1"/>
        <v>0</v>
      </c>
      <c r="J32" s="529">
        <v>0</v>
      </c>
    </row>
    <row r="33" spans="1:10" ht="61.5" customHeight="1" x14ac:dyDescent="0.25">
      <c r="A33" s="453" t="s">
        <v>35</v>
      </c>
      <c r="B33" s="517" t="s">
        <v>36</v>
      </c>
      <c r="C33" s="517" t="s">
        <v>37</v>
      </c>
      <c r="D33" s="528" t="s">
        <v>38</v>
      </c>
      <c r="E33" s="518" t="s">
        <v>153</v>
      </c>
      <c r="F33" s="518" t="s">
        <v>499</v>
      </c>
      <c r="G33" s="519">
        <f t="shared" si="0"/>
        <v>6000</v>
      </c>
      <c r="H33" s="519">
        <v>6000</v>
      </c>
      <c r="I33" s="519">
        <f t="shared" si="1"/>
        <v>0</v>
      </c>
      <c r="J33" s="529">
        <v>0</v>
      </c>
    </row>
    <row r="34" spans="1:10" ht="58.5" customHeight="1" x14ac:dyDescent="0.25">
      <c r="A34" s="259" t="s">
        <v>159</v>
      </c>
      <c r="B34" s="517">
        <v>8230</v>
      </c>
      <c r="C34" s="517" t="s">
        <v>37</v>
      </c>
      <c r="D34" s="528" t="s">
        <v>160</v>
      </c>
      <c r="E34" s="620" t="s">
        <v>164</v>
      </c>
      <c r="F34" s="518" t="s">
        <v>647</v>
      </c>
      <c r="G34" s="519">
        <f t="shared" si="0"/>
        <v>19032201</v>
      </c>
      <c r="H34" s="519">
        <f>20061160-228060-2039391+338492</f>
        <v>18132201</v>
      </c>
      <c r="I34" s="519">
        <f t="shared" si="1"/>
        <v>900000</v>
      </c>
      <c r="J34" s="529">
        <v>900000</v>
      </c>
    </row>
    <row r="35" spans="1:10" ht="105.75" customHeight="1" x14ac:dyDescent="0.25">
      <c r="A35" s="538" t="s">
        <v>39</v>
      </c>
      <c r="B35" s="531" t="s">
        <v>40</v>
      </c>
      <c r="C35" s="531" t="s">
        <v>41</v>
      </c>
      <c r="D35" s="533" t="s">
        <v>42</v>
      </c>
      <c r="E35" s="535" t="s">
        <v>234</v>
      </c>
      <c r="F35" s="535" t="s">
        <v>648</v>
      </c>
      <c r="G35" s="536">
        <f t="shared" si="0"/>
        <v>3379702</v>
      </c>
      <c r="H35" s="536">
        <v>3379702</v>
      </c>
      <c r="I35" s="519">
        <f t="shared" si="1"/>
        <v>0</v>
      </c>
      <c r="J35" s="537">
        <v>0</v>
      </c>
    </row>
    <row r="36" spans="1:10" ht="95.25" customHeight="1" x14ac:dyDescent="0.25">
      <c r="A36" s="539" t="s">
        <v>436</v>
      </c>
      <c r="B36" s="531">
        <v>9800</v>
      </c>
      <c r="C36" s="532" t="s">
        <v>226</v>
      </c>
      <c r="D36" s="535" t="s">
        <v>437</v>
      </c>
      <c r="E36" s="535" t="s">
        <v>451</v>
      </c>
      <c r="F36" s="535" t="s">
        <v>669</v>
      </c>
      <c r="G36" s="536">
        <f t="shared" si="0"/>
        <v>68500000</v>
      </c>
      <c r="H36" s="536">
        <f>5000000+1500000+850000+63000-1500000+10000000+2000000-1300000+428000+10000000+1000000+4000000</f>
        <v>32041000</v>
      </c>
      <c r="I36" s="536">
        <f>J36</f>
        <v>36459000</v>
      </c>
      <c r="J36" s="537">
        <f>1000000+150000+2937000+1500000+4000000+3000000+5000000+1300000+4572000+4000000-4000000+3000000+1000000+1000000+3000000+5000000</f>
        <v>36459000</v>
      </c>
    </row>
    <row r="37" spans="1:10" ht="60.75" customHeight="1" x14ac:dyDescent="0.25">
      <c r="A37" s="539" t="s">
        <v>436</v>
      </c>
      <c r="B37" s="531">
        <v>9800</v>
      </c>
      <c r="C37" s="532" t="s">
        <v>226</v>
      </c>
      <c r="D37" s="535" t="s">
        <v>437</v>
      </c>
      <c r="E37" s="611" t="s">
        <v>474</v>
      </c>
      <c r="F37" s="41" t="s">
        <v>673</v>
      </c>
      <c r="G37" s="540">
        <f t="shared" si="0"/>
        <v>831564</v>
      </c>
      <c r="H37" s="540">
        <f>0+521164</f>
        <v>521164</v>
      </c>
      <c r="I37" s="540">
        <f>J37</f>
        <v>310400</v>
      </c>
      <c r="J37" s="529">
        <f>0+310400</f>
        <v>310400</v>
      </c>
    </row>
    <row r="38" spans="1:10" ht="63" customHeight="1" x14ac:dyDescent="0.25">
      <c r="A38" s="522" t="s">
        <v>436</v>
      </c>
      <c r="B38" s="517">
        <v>9800</v>
      </c>
      <c r="C38" s="523" t="s">
        <v>226</v>
      </c>
      <c r="D38" s="518" t="s">
        <v>437</v>
      </c>
      <c r="E38" s="518" t="s">
        <v>473</v>
      </c>
      <c r="F38" s="518" t="s">
        <v>475</v>
      </c>
      <c r="G38" s="541">
        <f t="shared" si="0"/>
        <v>56300</v>
      </c>
      <c r="H38" s="541">
        <f>0+30300</f>
        <v>30300</v>
      </c>
      <c r="I38" s="541">
        <f>J38</f>
        <v>26000</v>
      </c>
      <c r="J38" s="529">
        <f>0+26000</f>
        <v>26000</v>
      </c>
    </row>
    <row r="39" spans="1:10" ht="66" customHeight="1" x14ac:dyDescent="0.25">
      <c r="A39" s="522" t="s">
        <v>436</v>
      </c>
      <c r="B39" s="517">
        <v>9800</v>
      </c>
      <c r="C39" s="523" t="s">
        <v>226</v>
      </c>
      <c r="D39" s="518" t="s">
        <v>437</v>
      </c>
      <c r="E39" s="518" t="s">
        <v>614</v>
      </c>
      <c r="F39" s="518" t="s">
        <v>668</v>
      </c>
      <c r="G39" s="541">
        <f t="shared" si="0"/>
        <v>6699900</v>
      </c>
      <c r="H39" s="541">
        <f>1299900+2000000</f>
        <v>3299900</v>
      </c>
      <c r="I39" s="541">
        <f>J39</f>
        <v>3400000</v>
      </c>
      <c r="J39" s="529">
        <f>0+900000+2500000</f>
        <v>3400000</v>
      </c>
    </row>
    <row r="40" spans="1:10" ht="65.25" customHeight="1" thickBot="1" x14ac:dyDescent="0.3">
      <c r="A40" s="530" t="s">
        <v>436</v>
      </c>
      <c r="B40" s="502">
        <v>9800</v>
      </c>
      <c r="C40" s="542" t="s">
        <v>226</v>
      </c>
      <c r="D40" s="525" t="s">
        <v>437</v>
      </c>
      <c r="E40" s="534" t="s">
        <v>487</v>
      </c>
      <c r="F40" s="525" t="s">
        <v>625</v>
      </c>
      <c r="G40" s="543">
        <f t="shared" si="0"/>
        <v>9000000</v>
      </c>
      <c r="H40" s="544">
        <f>4000000</f>
        <v>4000000</v>
      </c>
      <c r="I40" s="544">
        <f>J40</f>
        <v>5000000</v>
      </c>
      <c r="J40" s="545">
        <v>5000000</v>
      </c>
    </row>
    <row r="41" spans="1:10" ht="45" customHeight="1" thickBot="1" x14ac:dyDescent="0.3">
      <c r="A41" s="506" t="s">
        <v>43</v>
      </c>
      <c r="B41" s="507" t="s">
        <v>16</v>
      </c>
      <c r="C41" s="507" t="s">
        <v>16</v>
      </c>
      <c r="D41" s="508" t="s">
        <v>44</v>
      </c>
      <c r="E41" s="509" t="s">
        <v>16</v>
      </c>
      <c r="F41" s="509" t="s">
        <v>16</v>
      </c>
      <c r="G41" s="510">
        <f t="shared" si="0"/>
        <v>21793344</v>
      </c>
      <c r="H41" s="510">
        <f>H42</f>
        <v>19122996</v>
      </c>
      <c r="I41" s="510">
        <f>I42</f>
        <v>2670348</v>
      </c>
      <c r="J41" s="511">
        <f>J42</f>
        <v>1049568</v>
      </c>
    </row>
    <row r="42" spans="1:10" ht="47.25" x14ac:dyDescent="0.25">
      <c r="A42" s="546" t="s">
        <v>45</v>
      </c>
      <c r="B42" s="547" t="s">
        <v>16</v>
      </c>
      <c r="C42" s="547" t="s">
        <v>16</v>
      </c>
      <c r="D42" s="514" t="s">
        <v>44</v>
      </c>
      <c r="E42" s="515" t="s">
        <v>16</v>
      </c>
      <c r="F42" s="515" t="s">
        <v>16</v>
      </c>
      <c r="G42" s="516">
        <f>H42+I42</f>
        <v>21793344</v>
      </c>
      <c r="H42" s="516">
        <f>H43+H44+H45+H46+H47+H48+H49+H52+H53+H55+H50+H51+H54</f>
        <v>19122996</v>
      </c>
      <c r="I42" s="516">
        <f>I43+I44+I45+I46+I47+I48+I49+I52+I53+I55+I50+I51</f>
        <v>2670348</v>
      </c>
      <c r="J42" s="516">
        <f t="shared" ref="J42" si="2">J43+J44+J45+J46+J47+J48+J49+J52+J53+J55+J50+J51</f>
        <v>1049568</v>
      </c>
    </row>
    <row r="43" spans="1:10" ht="58.5" customHeight="1" x14ac:dyDescent="0.25">
      <c r="A43" s="453" t="s">
        <v>47</v>
      </c>
      <c r="B43" s="517">
        <v>1010</v>
      </c>
      <c r="C43" s="517" t="s">
        <v>49</v>
      </c>
      <c r="D43" s="528" t="s">
        <v>50</v>
      </c>
      <c r="E43" s="518" t="s">
        <v>154</v>
      </c>
      <c r="F43" s="518" t="s">
        <v>671</v>
      </c>
      <c r="G43" s="519">
        <f t="shared" si="0"/>
        <v>451865</v>
      </c>
      <c r="H43" s="519">
        <f>387671+22084+42110</f>
        <v>451865</v>
      </c>
      <c r="I43" s="519">
        <v>0</v>
      </c>
      <c r="J43" s="529">
        <v>0</v>
      </c>
    </row>
    <row r="44" spans="1:10" ht="60.75" customHeight="1" x14ac:dyDescent="0.25">
      <c r="A44" s="453" t="s">
        <v>51</v>
      </c>
      <c r="B44" s="517" t="s">
        <v>52</v>
      </c>
      <c r="C44" s="517" t="s">
        <v>53</v>
      </c>
      <c r="D44" s="528" t="s">
        <v>54</v>
      </c>
      <c r="E44" s="518" t="s">
        <v>154</v>
      </c>
      <c r="F44" s="518" t="s">
        <v>671</v>
      </c>
      <c r="G44" s="519">
        <f t="shared" si="0"/>
        <v>14276788</v>
      </c>
      <c r="H44" s="519">
        <f>8402143+10757+499070-60261-30000+498000+175000+199750+3964258+618071</f>
        <v>14276788</v>
      </c>
      <c r="I44" s="519">
        <v>0</v>
      </c>
      <c r="J44" s="529">
        <v>0</v>
      </c>
    </row>
    <row r="45" spans="1:10" ht="60" customHeight="1" x14ac:dyDescent="0.25">
      <c r="A45" s="453" t="s">
        <v>55</v>
      </c>
      <c r="B45" s="517" t="s">
        <v>56</v>
      </c>
      <c r="C45" s="517" t="s">
        <v>57</v>
      </c>
      <c r="D45" s="528" t="s">
        <v>58</v>
      </c>
      <c r="E45" s="518" t="s">
        <v>154</v>
      </c>
      <c r="F45" s="518" t="s">
        <v>671</v>
      </c>
      <c r="G45" s="519">
        <f t="shared" si="0"/>
        <v>24260</v>
      </c>
      <c r="H45" s="519">
        <v>24260</v>
      </c>
      <c r="I45" s="519">
        <v>0</v>
      </c>
      <c r="J45" s="529">
        <v>0</v>
      </c>
    </row>
    <row r="46" spans="1:10" ht="61.5" customHeight="1" x14ac:dyDescent="0.25">
      <c r="A46" s="453" t="s">
        <v>60</v>
      </c>
      <c r="B46" s="517" t="s">
        <v>61</v>
      </c>
      <c r="C46" s="517" t="s">
        <v>59</v>
      </c>
      <c r="D46" s="528" t="s">
        <v>62</v>
      </c>
      <c r="E46" s="518" t="s">
        <v>154</v>
      </c>
      <c r="F46" s="518" t="s">
        <v>671</v>
      </c>
      <c r="G46" s="519">
        <f t="shared" si="0"/>
        <v>69480</v>
      </c>
      <c r="H46" s="519">
        <f>14480+55000</f>
        <v>69480</v>
      </c>
      <c r="I46" s="519">
        <v>0</v>
      </c>
      <c r="J46" s="529">
        <v>0</v>
      </c>
    </row>
    <row r="47" spans="1:10" ht="66" customHeight="1" x14ac:dyDescent="0.25">
      <c r="A47" s="453" t="s">
        <v>63</v>
      </c>
      <c r="B47" s="517" t="s">
        <v>64</v>
      </c>
      <c r="C47" s="517" t="s">
        <v>59</v>
      </c>
      <c r="D47" s="528" t="s">
        <v>65</v>
      </c>
      <c r="E47" s="518" t="s">
        <v>154</v>
      </c>
      <c r="F47" s="518" t="s">
        <v>671</v>
      </c>
      <c r="G47" s="519">
        <f t="shared" si="0"/>
        <v>4722</v>
      </c>
      <c r="H47" s="519">
        <f>3619+1103</f>
        <v>4722</v>
      </c>
      <c r="I47" s="519">
        <v>0</v>
      </c>
      <c r="J47" s="529">
        <v>0</v>
      </c>
    </row>
    <row r="48" spans="1:10" ht="60.75" customHeight="1" x14ac:dyDescent="0.25">
      <c r="A48" s="453" t="s">
        <v>66</v>
      </c>
      <c r="B48" s="517" t="s">
        <v>67</v>
      </c>
      <c r="C48" s="517" t="s">
        <v>59</v>
      </c>
      <c r="D48" s="528" t="s">
        <v>68</v>
      </c>
      <c r="E48" s="518" t="s">
        <v>155</v>
      </c>
      <c r="F48" s="518" t="s">
        <v>671</v>
      </c>
      <c r="G48" s="519">
        <f t="shared" si="0"/>
        <v>4750</v>
      </c>
      <c r="H48" s="519">
        <v>4750</v>
      </c>
      <c r="I48" s="519">
        <v>0</v>
      </c>
      <c r="J48" s="529">
        <v>0</v>
      </c>
    </row>
    <row r="49" spans="1:10" ht="57.75" customHeight="1" x14ac:dyDescent="0.25">
      <c r="A49" s="453" t="s">
        <v>66</v>
      </c>
      <c r="B49" s="517" t="s">
        <v>67</v>
      </c>
      <c r="C49" s="517" t="s">
        <v>59</v>
      </c>
      <c r="D49" s="528" t="s">
        <v>68</v>
      </c>
      <c r="E49" s="518" t="s">
        <v>262</v>
      </c>
      <c r="F49" s="518" t="s">
        <v>278</v>
      </c>
      <c r="G49" s="519">
        <f t="shared" si="0"/>
        <v>4187</v>
      </c>
      <c r="H49" s="519">
        <v>4187</v>
      </c>
      <c r="I49" s="519">
        <v>0</v>
      </c>
      <c r="J49" s="529">
        <v>0</v>
      </c>
    </row>
    <row r="50" spans="1:10" ht="113.25" customHeight="1" x14ac:dyDescent="0.25">
      <c r="A50" s="522" t="s">
        <v>640</v>
      </c>
      <c r="B50" s="517">
        <v>1181</v>
      </c>
      <c r="C50" s="523" t="s">
        <v>59</v>
      </c>
      <c r="D50" s="681" t="s">
        <v>641</v>
      </c>
      <c r="E50" s="518" t="s">
        <v>154</v>
      </c>
      <c r="F50" s="518" t="s">
        <v>671</v>
      </c>
      <c r="G50" s="519">
        <f t="shared" si="0"/>
        <v>449824</v>
      </c>
      <c r="H50" s="519">
        <v>449824</v>
      </c>
      <c r="I50" s="519">
        <f>J50</f>
        <v>0</v>
      </c>
      <c r="J50" s="529">
        <v>0</v>
      </c>
    </row>
    <row r="51" spans="1:10" ht="93.75" customHeight="1" x14ac:dyDescent="0.25">
      <c r="A51" s="643" t="s">
        <v>642</v>
      </c>
      <c r="B51" s="565" t="s">
        <v>643</v>
      </c>
      <c r="C51" s="565" t="s">
        <v>59</v>
      </c>
      <c r="D51" s="682" t="s">
        <v>644</v>
      </c>
      <c r="E51" s="518" t="s">
        <v>154</v>
      </c>
      <c r="F51" s="518" t="s">
        <v>671</v>
      </c>
      <c r="G51" s="519">
        <f t="shared" si="0"/>
        <v>1049568</v>
      </c>
      <c r="H51" s="526">
        <v>0</v>
      </c>
      <c r="I51" s="519">
        <f>J51</f>
        <v>1049568</v>
      </c>
      <c r="J51" s="683">
        <v>1049568</v>
      </c>
    </row>
    <row r="52" spans="1:10" ht="156" customHeight="1" x14ac:dyDescent="0.25">
      <c r="A52" s="530" t="s">
        <v>440</v>
      </c>
      <c r="B52" s="502">
        <v>1291</v>
      </c>
      <c r="C52" s="502" t="s">
        <v>59</v>
      </c>
      <c r="D52" s="549" t="s">
        <v>438</v>
      </c>
      <c r="E52" s="534" t="s">
        <v>155</v>
      </c>
      <c r="F52" s="518" t="s">
        <v>671</v>
      </c>
      <c r="G52" s="548">
        <f t="shared" si="0"/>
        <v>694620</v>
      </c>
      <c r="H52" s="548">
        <f>298620+396000</f>
        <v>694620</v>
      </c>
      <c r="I52" s="526">
        <v>0</v>
      </c>
      <c r="J52" s="571">
        <v>0</v>
      </c>
    </row>
    <row r="53" spans="1:10" ht="147" customHeight="1" x14ac:dyDescent="0.25">
      <c r="A53" s="522" t="s">
        <v>441</v>
      </c>
      <c r="B53" s="517">
        <v>1292</v>
      </c>
      <c r="C53" s="517" t="s">
        <v>59</v>
      </c>
      <c r="D53" s="518" t="s">
        <v>439</v>
      </c>
      <c r="E53" s="518" t="s">
        <v>155</v>
      </c>
      <c r="F53" s="518" t="s">
        <v>671</v>
      </c>
      <c r="G53" s="519">
        <f t="shared" si="0"/>
        <v>1620780</v>
      </c>
      <c r="H53" s="519">
        <v>0</v>
      </c>
      <c r="I53" s="519">
        <f>696780+924000</f>
        <v>1620780</v>
      </c>
      <c r="J53" s="529">
        <v>0</v>
      </c>
    </row>
    <row r="54" spans="1:10" ht="111.6" customHeight="1" x14ac:dyDescent="0.25">
      <c r="A54" s="523" t="s">
        <v>655</v>
      </c>
      <c r="B54" s="517">
        <v>1403</v>
      </c>
      <c r="C54" s="517" t="s">
        <v>59</v>
      </c>
      <c r="D54" s="518" t="s">
        <v>656</v>
      </c>
      <c r="E54" s="518" t="s">
        <v>155</v>
      </c>
      <c r="F54" s="518" t="s">
        <v>671</v>
      </c>
      <c r="G54" s="519">
        <f t="shared" si="0"/>
        <v>2278000</v>
      </c>
      <c r="H54" s="519">
        <v>2278000</v>
      </c>
      <c r="I54" s="519">
        <v>0</v>
      </c>
      <c r="J54" s="519">
        <v>0</v>
      </c>
    </row>
    <row r="55" spans="1:10" s="498" customFormat="1" ht="91.5" customHeight="1" thickBot="1" x14ac:dyDescent="0.3">
      <c r="A55" s="530" t="s">
        <v>482</v>
      </c>
      <c r="B55" s="502">
        <v>3140</v>
      </c>
      <c r="C55" s="502">
        <v>1040</v>
      </c>
      <c r="D55" s="549" t="s">
        <v>483</v>
      </c>
      <c r="E55" s="534" t="s">
        <v>488</v>
      </c>
      <c r="F55" s="534" t="s">
        <v>501</v>
      </c>
      <c r="G55" s="526">
        <f t="shared" si="0"/>
        <v>864500</v>
      </c>
      <c r="H55" s="548">
        <f>1300000-230000-205500</f>
        <v>864500</v>
      </c>
      <c r="I55" s="548">
        <v>0</v>
      </c>
      <c r="J55" s="545">
        <v>0</v>
      </c>
    </row>
    <row r="56" spans="1:10" ht="45" customHeight="1" thickBot="1" x14ac:dyDescent="0.3">
      <c r="A56" s="506" t="s">
        <v>70</v>
      </c>
      <c r="B56" s="507" t="s">
        <v>16</v>
      </c>
      <c r="C56" s="507" t="s">
        <v>16</v>
      </c>
      <c r="D56" s="508" t="s">
        <v>71</v>
      </c>
      <c r="E56" s="509" t="s">
        <v>16</v>
      </c>
      <c r="F56" s="509" t="s">
        <v>16</v>
      </c>
      <c r="G56" s="510">
        <f t="shared" si="0"/>
        <v>21612451</v>
      </c>
      <c r="H56" s="510">
        <f>H57</f>
        <v>21612451</v>
      </c>
      <c r="I56" s="510">
        <f>I57</f>
        <v>0</v>
      </c>
      <c r="J56" s="511">
        <f>J57</f>
        <v>0</v>
      </c>
    </row>
    <row r="57" spans="1:10" ht="45" customHeight="1" x14ac:dyDescent="0.25">
      <c r="A57" s="546" t="s">
        <v>72</v>
      </c>
      <c r="B57" s="547" t="s">
        <v>16</v>
      </c>
      <c r="C57" s="547" t="s">
        <v>16</v>
      </c>
      <c r="D57" s="514" t="s">
        <v>71</v>
      </c>
      <c r="E57" s="515" t="s">
        <v>16</v>
      </c>
      <c r="F57" s="515" t="s">
        <v>16</v>
      </c>
      <c r="G57" s="516">
        <f>H57+I57</f>
        <v>21612451</v>
      </c>
      <c r="H57" s="516">
        <f>H58+H59+H60+H63+H61+H62</f>
        <v>21612451</v>
      </c>
      <c r="I57" s="516">
        <f>I58+I59+I63</f>
        <v>0</v>
      </c>
      <c r="J57" s="527">
        <f>J58+J59+J63</f>
        <v>0</v>
      </c>
    </row>
    <row r="58" spans="1:10" ht="90" customHeight="1" x14ac:dyDescent="0.25">
      <c r="A58" s="453" t="s">
        <v>73</v>
      </c>
      <c r="B58" s="517" t="s">
        <v>74</v>
      </c>
      <c r="C58" s="517" t="s">
        <v>75</v>
      </c>
      <c r="D58" s="528" t="s">
        <v>76</v>
      </c>
      <c r="E58" s="518" t="s">
        <v>242</v>
      </c>
      <c r="F58" s="518" t="s">
        <v>502</v>
      </c>
      <c r="G58" s="519">
        <f t="shared" si="0"/>
        <v>12750</v>
      </c>
      <c r="H58" s="519">
        <v>12750</v>
      </c>
      <c r="I58" s="519">
        <v>0</v>
      </c>
      <c r="J58" s="529">
        <v>0</v>
      </c>
    </row>
    <row r="59" spans="1:10" ht="90" customHeight="1" x14ac:dyDescent="0.25">
      <c r="A59" s="453" t="s">
        <v>77</v>
      </c>
      <c r="B59" s="517" t="s">
        <v>78</v>
      </c>
      <c r="C59" s="517" t="s">
        <v>56</v>
      </c>
      <c r="D59" s="528" t="s">
        <v>79</v>
      </c>
      <c r="E59" s="518" t="s">
        <v>242</v>
      </c>
      <c r="F59" s="518" t="s">
        <v>502</v>
      </c>
      <c r="G59" s="519">
        <f t="shared" si="0"/>
        <v>8400</v>
      </c>
      <c r="H59" s="519">
        <v>8400</v>
      </c>
      <c r="I59" s="519">
        <v>0</v>
      </c>
      <c r="J59" s="529">
        <v>0</v>
      </c>
    </row>
    <row r="60" spans="1:10" ht="90.75" customHeight="1" x14ac:dyDescent="0.25">
      <c r="A60" s="522" t="s">
        <v>189</v>
      </c>
      <c r="B60" s="517">
        <v>3105</v>
      </c>
      <c r="C60" s="517">
        <v>1010</v>
      </c>
      <c r="D60" s="528" t="s">
        <v>191</v>
      </c>
      <c r="E60" s="518" t="s">
        <v>490</v>
      </c>
      <c r="F60" s="518" t="s">
        <v>491</v>
      </c>
      <c r="G60" s="519">
        <f t="shared" si="0"/>
        <v>12401</v>
      </c>
      <c r="H60" s="519">
        <v>12401</v>
      </c>
      <c r="I60" s="519">
        <v>0</v>
      </c>
      <c r="J60" s="529">
        <v>0</v>
      </c>
    </row>
    <row r="61" spans="1:10" ht="58.5" customHeight="1" x14ac:dyDescent="0.25">
      <c r="A61" s="453">
        <v>813241</v>
      </c>
      <c r="B61" s="517">
        <v>3241</v>
      </c>
      <c r="C61" s="517">
        <v>1090</v>
      </c>
      <c r="D61" s="528" t="s">
        <v>197</v>
      </c>
      <c r="E61" s="518" t="s">
        <v>156</v>
      </c>
      <c r="F61" s="518" t="s">
        <v>503</v>
      </c>
      <c r="G61" s="519">
        <f t="shared" si="0"/>
        <v>71000</v>
      </c>
      <c r="H61" s="519">
        <v>71000</v>
      </c>
      <c r="I61" s="519">
        <v>0</v>
      </c>
      <c r="J61" s="529">
        <v>0</v>
      </c>
    </row>
    <row r="62" spans="1:10" ht="61.5" customHeight="1" x14ac:dyDescent="0.25">
      <c r="A62" s="453" t="s">
        <v>81</v>
      </c>
      <c r="B62" s="517" t="s">
        <v>82</v>
      </c>
      <c r="C62" s="517" t="s">
        <v>80</v>
      </c>
      <c r="D62" s="528" t="s">
        <v>83</v>
      </c>
      <c r="E62" s="518" t="s">
        <v>248</v>
      </c>
      <c r="F62" s="518" t="s">
        <v>677</v>
      </c>
      <c r="G62" s="519">
        <f t="shared" si="0"/>
        <v>19207900</v>
      </c>
      <c r="H62" s="536">
        <f>16607900+1000000+1600000</f>
        <v>19207900</v>
      </c>
      <c r="I62" s="536">
        <v>0</v>
      </c>
      <c r="J62" s="537">
        <v>0</v>
      </c>
    </row>
    <row r="63" spans="1:10" ht="123.75" customHeight="1" thickBot="1" x14ac:dyDescent="0.3">
      <c r="A63" s="538" t="s">
        <v>81</v>
      </c>
      <c r="B63" s="531" t="s">
        <v>82</v>
      </c>
      <c r="C63" s="531" t="s">
        <v>80</v>
      </c>
      <c r="D63" s="533" t="s">
        <v>83</v>
      </c>
      <c r="E63" s="535" t="s">
        <v>243</v>
      </c>
      <c r="F63" s="518" t="s">
        <v>498</v>
      </c>
      <c r="G63" s="536">
        <f t="shared" si="0"/>
        <v>2300000</v>
      </c>
      <c r="H63" s="536">
        <f>1800000+500000</f>
        <v>2300000</v>
      </c>
      <c r="I63" s="536">
        <v>0</v>
      </c>
      <c r="J63" s="537">
        <v>0</v>
      </c>
    </row>
    <row r="64" spans="1:10" ht="60" customHeight="1" thickBot="1" x14ac:dyDescent="0.3">
      <c r="A64" s="506" t="s">
        <v>84</v>
      </c>
      <c r="B64" s="507" t="s">
        <v>16</v>
      </c>
      <c r="C64" s="507" t="s">
        <v>16</v>
      </c>
      <c r="D64" s="508" t="s">
        <v>85</v>
      </c>
      <c r="E64" s="509" t="s">
        <v>16</v>
      </c>
      <c r="F64" s="509" t="s">
        <v>16</v>
      </c>
      <c r="G64" s="510">
        <f t="shared" si="0"/>
        <v>32000</v>
      </c>
      <c r="H64" s="510">
        <f t="shared" ref="H64:J65" si="3">H65</f>
        <v>32000</v>
      </c>
      <c r="I64" s="510">
        <f t="shared" si="3"/>
        <v>0</v>
      </c>
      <c r="J64" s="511">
        <f t="shared" si="3"/>
        <v>0</v>
      </c>
    </row>
    <row r="65" spans="1:10" ht="44.25" customHeight="1" x14ac:dyDescent="0.25">
      <c r="A65" s="512" t="s">
        <v>86</v>
      </c>
      <c r="B65" s="513" t="s">
        <v>16</v>
      </c>
      <c r="C65" s="513" t="s">
        <v>16</v>
      </c>
      <c r="D65" s="550" t="s">
        <v>85</v>
      </c>
      <c r="E65" s="551" t="s">
        <v>16</v>
      </c>
      <c r="F65" s="551" t="s">
        <v>16</v>
      </c>
      <c r="G65" s="552">
        <f>H65+I65</f>
        <v>32000</v>
      </c>
      <c r="H65" s="552">
        <f t="shared" si="3"/>
        <v>32000</v>
      </c>
      <c r="I65" s="552">
        <f t="shared" si="3"/>
        <v>0</v>
      </c>
      <c r="J65" s="553">
        <f t="shared" si="3"/>
        <v>0</v>
      </c>
    </row>
    <row r="66" spans="1:10" ht="61.5" customHeight="1" thickBot="1" x14ac:dyDescent="0.3">
      <c r="A66" s="554" t="s">
        <v>87</v>
      </c>
      <c r="B66" s="645" t="s">
        <v>88</v>
      </c>
      <c r="C66" s="645" t="s">
        <v>69</v>
      </c>
      <c r="D66" s="555" t="s">
        <v>89</v>
      </c>
      <c r="E66" s="556" t="s">
        <v>235</v>
      </c>
      <c r="F66" s="556" t="s">
        <v>504</v>
      </c>
      <c r="G66" s="557">
        <f>H66</f>
        <v>32000</v>
      </c>
      <c r="H66" s="557">
        <v>32000</v>
      </c>
      <c r="I66" s="557">
        <v>0</v>
      </c>
      <c r="J66" s="558">
        <v>0</v>
      </c>
    </row>
    <row r="67" spans="1:10" ht="60.75" customHeight="1" thickBot="1" x14ac:dyDescent="0.3">
      <c r="A67" s="506" t="s">
        <v>90</v>
      </c>
      <c r="B67" s="507" t="s">
        <v>16</v>
      </c>
      <c r="C67" s="507" t="s">
        <v>16</v>
      </c>
      <c r="D67" s="508" t="s">
        <v>91</v>
      </c>
      <c r="E67" s="509" t="s">
        <v>16</v>
      </c>
      <c r="F67" s="509" t="s">
        <v>16</v>
      </c>
      <c r="G67" s="510">
        <f t="shared" si="0"/>
        <v>33967476</v>
      </c>
      <c r="H67" s="510">
        <f>H68</f>
        <v>32373476</v>
      </c>
      <c r="I67" s="510">
        <f>I68</f>
        <v>1594000</v>
      </c>
      <c r="J67" s="511">
        <f>J68</f>
        <v>1594000</v>
      </c>
    </row>
    <row r="68" spans="1:10" ht="60.75" customHeight="1" x14ac:dyDescent="0.25">
      <c r="A68" s="546" t="s">
        <v>92</v>
      </c>
      <c r="B68" s="547" t="s">
        <v>16</v>
      </c>
      <c r="C68" s="547" t="s">
        <v>16</v>
      </c>
      <c r="D68" s="514" t="s">
        <v>91</v>
      </c>
      <c r="E68" s="515" t="s">
        <v>16</v>
      </c>
      <c r="F68" s="515" t="s">
        <v>16</v>
      </c>
      <c r="G68" s="516">
        <f>H68+I68</f>
        <v>33967476</v>
      </c>
      <c r="H68" s="516">
        <f>H69+H71+H72+H73+H74+H75+H76+H77+H79+H80+H78+H81+H70</f>
        <v>32373476</v>
      </c>
      <c r="I68" s="516">
        <f>I69+I71+I72+I73+I74+I75+I76+I77+I79+I80+I78</f>
        <v>1594000</v>
      </c>
      <c r="J68" s="527">
        <f>J69+J71+J72+J73+J74+J75+J76+J77+J79+J80+J78</f>
        <v>1594000</v>
      </c>
    </row>
    <row r="69" spans="1:10" ht="58.5" customHeight="1" x14ac:dyDescent="0.25">
      <c r="A69" s="453" t="s">
        <v>93</v>
      </c>
      <c r="B69" s="517" t="s">
        <v>94</v>
      </c>
      <c r="C69" s="517" t="s">
        <v>57</v>
      </c>
      <c r="D69" s="528" t="s">
        <v>95</v>
      </c>
      <c r="E69" s="518" t="s">
        <v>157</v>
      </c>
      <c r="F69" s="518" t="s">
        <v>505</v>
      </c>
      <c r="G69" s="519">
        <f t="shared" si="0"/>
        <v>22500</v>
      </c>
      <c r="H69" s="519">
        <v>22500</v>
      </c>
      <c r="I69" s="519">
        <v>0</v>
      </c>
      <c r="J69" s="529">
        <v>0</v>
      </c>
    </row>
    <row r="70" spans="1:10" ht="54" customHeight="1" x14ac:dyDescent="0.25">
      <c r="A70" s="453" t="s">
        <v>96</v>
      </c>
      <c r="B70" s="517" t="s">
        <v>97</v>
      </c>
      <c r="C70" s="517" t="s">
        <v>69</v>
      </c>
      <c r="D70" s="528" t="s">
        <v>98</v>
      </c>
      <c r="E70" s="518" t="s">
        <v>262</v>
      </c>
      <c r="F70" s="518" t="s">
        <v>278</v>
      </c>
      <c r="G70" s="519">
        <f t="shared" si="0"/>
        <v>29026</v>
      </c>
      <c r="H70" s="519">
        <v>29026</v>
      </c>
      <c r="I70" s="519">
        <v>0</v>
      </c>
      <c r="J70" s="529">
        <v>0</v>
      </c>
    </row>
    <row r="71" spans="1:10" ht="57" customHeight="1" x14ac:dyDescent="0.25">
      <c r="A71" s="453" t="s">
        <v>96</v>
      </c>
      <c r="B71" s="517" t="s">
        <v>97</v>
      </c>
      <c r="C71" s="517" t="s">
        <v>69</v>
      </c>
      <c r="D71" s="528" t="s">
        <v>98</v>
      </c>
      <c r="E71" s="518" t="s">
        <v>156</v>
      </c>
      <c r="F71" s="518" t="s">
        <v>506</v>
      </c>
      <c r="G71" s="519">
        <f t="shared" si="0"/>
        <v>211500</v>
      </c>
      <c r="H71" s="519">
        <v>211500</v>
      </c>
      <c r="I71" s="519">
        <v>0</v>
      </c>
      <c r="J71" s="529">
        <v>0</v>
      </c>
    </row>
    <row r="72" spans="1:10" ht="70.150000000000006" customHeight="1" x14ac:dyDescent="0.25">
      <c r="A72" s="453" t="s">
        <v>99</v>
      </c>
      <c r="B72" s="517" t="s">
        <v>100</v>
      </c>
      <c r="C72" s="517" t="s">
        <v>101</v>
      </c>
      <c r="D72" s="528" t="s">
        <v>102</v>
      </c>
      <c r="E72" s="518" t="s">
        <v>157</v>
      </c>
      <c r="F72" s="518" t="s">
        <v>505</v>
      </c>
      <c r="G72" s="519">
        <f t="shared" si="0"/>
        <v>8000</v>
      </c>
      <c r="H72" s="519">
        <v>8000</v>
      </c>
      <c r="I72" s="519">
        <v>0</v>
      </c>
      <c r="J72" s="529">
        <v>0</v>
      </c>
    </row>
    <row r="73" spans="1:10" ht="69.599999999999994" customHeight="1" x14ac:dyDescent="0.25">
      <c r="A73" s="453" t="s">
        <v>103</v>
      </c>
      <c r="B73" s="517" t="s">
        <v>104</v>
      </c>
      <c r="C73" s="517" t="s">
        <v>101</v>
      </c>
      <c r="D73" s="528" t="s">
        <v>105</v>
      </c>
      <c r="E73" s="518" t="s">
        <v>157</v>
      </c>
      <c r="F73" s="518" t="s">
        <v>505</v>
      </c>
      <c r="G73" s="519">
        <f t="shared" si="0"/>
        <v>3000</v>
      </c>
      <c r="H73" s="519">
        <v>3000</v>
      </c>
      <c r="I73" s="519">
        <v>0</v>
      </c>
      <c r="J73" s="529">
        <v>0</v>
      </c>
    </row>
    <row r="74" spans="1:10" ht="63" customHeight="1" x14ac:dyDescent="0.25">
      <c r="A74" s="453" t="s">
        <v>106</v>
      </c>
      <c r="B74" s="517" t="s">
        <v>107</v>
      </c>
      <c r="C74" s="517" t="s">
        <v>108</v>
      </c>
      <c r="D74" s="528" t="s">
        <v>109</v>
      </c>
      <c r="E74" s="518" t="s">
        <v>157</v>
      </c>
      <c r="F74" s="518" t="s">
        <v>505</v>
      </c>
      <c r="G74" s="519">
        <f t="shared" si="0"/>
        <v>25700</v>
      </c>
      <c r="H74" s="519">
        <v>25700</v>
      </c>
      <c r="I74" s="519">
        <v>0</v>
      </c>
      <c r="J74" s="529">
        <v>0</v>
      </c>
    </row>
    <row r="75" spans="1:10" ht="69" customHeight="1" x14ac:dyDescent="0.25">
      <c r="A75" s="453" t="s">
        <v>111</v>
      </c>
      <c r="B75" s="517" t="s">
        <v>112</v>
      </c>
      <c r="C75" s="517" t="s">
        <v>110</v>
      </c>
      <c r="D75" s="528" t="s">
        <v>113</v>
      </c>
      <c r="E75" s="518" t="s">
        <v>157</v>
      </c>
      <c r="F75" s="518" t="s">
        <v>505</v>
      </c>
      <c r="G75" s="519">
        <f t="shared" si="0"/>
        <v>194000</v>
      </c>
      <c r="H75" s="519">
        <v>194000</v>
      </c>
      <c r="I75" s="519">
        <v>0</v>
      </c>
      <c r="J75" s="529">
        <v>0</v>
      </c>
    </row>
    <row r="76" spans="1:10" ht="63.6" customHeight="1" x14ac:dyDescent="0.25">
      <c r="A76" s="453" t="s">
        <v>114</v>
      </c>
      <c r="B76" s="517" t="s">
        <v>115</v>
      </c>
      <c r="C76" s="517" t="s">
        <v>116</v>
      </c>
      <c r="D76" s="528" t="s">
        <v>117</v>
      </c>
      <c r="E76" s="518" t="s">
        <v>238</v>
      </c>
      <c r="F76" s="518" t="s">
        <v>626</v>
      </c>
      <c r="G76" s="519">
        <f t="shared" si="0"/>
        <v>32750</v>
      </c>
      <c r="H76" s="519">
        <v>32750</v>
      </c>
      <c r="I76" s="519">
        <v>0</v>
      </c>
      <c r="J76" s="529">
        <v>0</v>
      </c>
    </row>
    <row r="77" spans="1:10" ht="67.900000000000006" customHeight="1" x14ac:dyDescent="0.25">
      <c r="A77" s="453" t="s">
        <v>118</v>
      </c>
      <c r="B77" s="517" t="s">
        <v>119</v>
      </c>
      <c r="C77" s="517" t="s">
        <v>116</v>
      </c>
      <c r="D77" s="528" t="s">
        <v>120</v>
      </c>
      <c r="E77" s="518" t="s">
        <v>238</v>
      </c>
      <c r="F77" s="518" t="s">
        <v>626</v>
      </c>
      <c r="G77" s="519">
        <f t="shared" si="0"/>
        <v>1667729</v>
      </c>
      <c r="H77" s="519">
        <f>1010000+495330+162399</f>
        <v>1667729</v>
      </c>
      <c r="I77" s="519">
        <v>0</v>
      </c>
      <c r="J77" s="529">
        <v>0</v>
      </c>
    </row>
    <row r="78" spans="1:10" s="684" customFormat="1" ht="72.599999999999994" customHeight="1" x14ac:dyDescent="0.25">
      <c r="A78" s="559">
        <v>1015041</v>
      </c>
      <c r="B78" s="560">
        <v>5041</v>
      </c>
      <c r="C78" s="560" t="s">
        <v>116</v>
      </c>
      <c r="D78" s="561" t="s">
        <v>161</v>
      </c>
      <c r="E78" s="518" t="s">
        <v>238</v>
      </c>
      <c r="F78" s="518" t="s">
        <v>626</v>
      </c>
      <c r="G78" s="519">
        <f t="shared" si="0"/>
        <v>30042040</v>
      </c>
      <c r="H78" s="519">
        <f>25268036+3180004</f>
        <v>28448040</v>
      </c>
      <c r="I78" s="519">
        <v>1594000</v>
      </c>
      <c r="J78" s="529">
        <f>0+1594000</f>
        <v>1594000</v>
      </c>
    </row>
    <row r="79" spans="1:10" ht="72.75" customHeight="1" x14ac:dyDescent="0.25">
      <c r="A79" s="453" t="s">
        <v>121</v>
      </c>
      <c r="B79" s="517" t="s">
        <v>122</v>
      </c>
      <c r="C79" s="517" t="s">
        <v>116</v>
      </c>
      <c r="D79" s="528" t="s">
        <v>123</v>
      </c>
      <c r="E79" s="518" t="s">
        <v>238</v>
      </c>
      <c r="F79" s="518" t="s">
        <v>626</v>
      </c>
      <c r="G79" s="519">
        <f t="shared" si="0"/>
        <v>1190931</v>
      </c>
      <c r="H79" s="519">
        <v>1190931</v>
      </c>
      <c r="I79" s="519">
        <v>0</v>
      </c>
      <c r="J79" s="529">
        <v>0</v>
      </c>
    </row>
    <row r="80" spans="1:10" ht="67.900000000000006" customHeight="1" x14ac:dyDescent="0.25">
      <c r="A80" s="453" t="s">
        <v>124</v>
      </c>
      <c r="B80" s="517" t="s">
        <v>125</v>
      </c>
      <c r="C80" s="517" t="s">
        <v>116</v>
      </c>
      <c r="D80" s="528" t="s">
        <v>126</v>
      </c>
      <c r="E80" s="518" t="s">
        <v>238</v>
      </c>
      <c r="F80" s="518" t="s">
        <v>626</v>
      </c>
      <c r="G80" s="519">
        <f>H80+I80</f>
        <v>438000</v>
      </c>
      <c r="H80" s="519">
        <f>558000-120000</f>
        <v>438000</v>
      </c>
      <c r="I80" s="519">
        <v>0</v>
      </c>
      <c r="J80" s="529">
        <v>0</v>
      </c>
    </row>
    <row r="81" spans="1:10" ht="63" customHeight="1" thickBot="1" x14ac:dyDescent="0.3">
      <c r="A81" s="501">
        <v>1018110</v>
      </c>
      <c r="B81" s="542">
        <v>8110</v>
      </c>
      <c r="C81" s="542" t="s">
        <v>239</v>
      </c>
      <c r="D81" s="562" t="s">
        <v>240</v>
      </c>
      <c r="E81" s="534" t="s">
        <v>241</v>
      </c>
      <c r="F81" s="41" t="s">
        <v>674</v>
      </c>
      <c r="G81" s="519">
        <f t="shared" si="0"/>
        <v>102300</v>
      </c>
      <c r="H81" s="548">
        <f>102300-100800+100800</f>
        <v>102300</v>
      </c>
      <c r="I81" s="548">
        <v>0</v>
      </c>
      <c r="J81" s="545">
        <v>0</v>
      </c>
    </row>
    <row r="82" spans="1:10" ht="46.9" customHeight="1" thickBot="1" x14ac:dyDescent="0.3">
      <c r="A82" s="506" t="s">
        <v>127</v>
      </c>
      <c r="B82" s="507" t="s">
        <v>16</v>
      </c>
      <c r="C82" s="507" t="s">
        <v>16</v>
      </c>
      <c r="D82" s="508" t="s">
        <v>128</v>
      </c>
      <c r="E82" s="509" t="s">
        <v>16</v>
      </c>
      <c r="F82" s="509" t="s">
        <v>16</v>
      </c>
      <c r="G82" s="510">
        <f>H82+I82</f>
        <v>76560152</v>
      </c>
      <c r="H82" s="510">
        <f>H83</f>
        <v>65840552</v>
      </c>
      <c r="I82" s="510">
        <f>I83</f>
        <v>10719600</v>
      </c>
      <c r="J82" s="511">
        <f>J83</f>
        <v>10360000</v>
      </c>
    </row>
    <row r="83" spans="1:10" ht="61.5" customHeight="1" x14ac:dyDescent="0.25">
      <c r="A83" s="563">
        <v>1210000</v>
      </c>
      <c r="B83" s="513" t="s">
        <v>16</v>
      </c>
      <c r="C83" s="513" t="s">
        <v>16</v>
      </c>
      <c r="D83" s="550" t="s">
        <v>128</v>
      </c>
      <c r="E83" s="551" t="s">
        <v>16</v>
      </c>
      <c r="F83" s="551" t="s">
        <v>16</v>
      </c>
      <c r="G83" s="552">
        <f>H83+I83</f>
        <v>76560152</v>
      </c>
      <c r="H83" s="552">
        <f>H84+H85+H86+H88+H91+H92+H94+H93+H89+H90</f>
        <v>65840552</v>
      </c>
      <c r="I83" s="552">
        <f>I84+I85+I86+I88+I91+I92+I94+I89+I90+I87</f>
        <v>10719600</v>
      </c>
      <c r="J83" s="552">
        <f>J84+J85+J86+J88+J91+J92+J94+J89+J90+J87</f>
        <v>10360000</v>
      </c>
    </row>
    <row r="84" spans="1:10" ht="63" customHeight="1" x14ac:dyDescent="0.25">
      <c r="A84" s="453" t="s">
        <v>131</v>
      </c>
      <c r="B84" s="517" t="s">
        <v>132</v>
      </c>
      <c r="C84" s="517" t="s">
        <v>133</v>
      </c>
      <c r="D84" s="528" t="s">
        <v>134</v>
      </c>
      <c r="E84" s="518" t="s">
        <v>158</v>
      </c>
      <c r="F84" s="518" t="s">
        <v>675</v>
      </c>
      <c r="G84" s="519">
        <f t="shared" si="0"/>
        <v>8474</v>
      </c>
      <c r="H84" s="519">
        <v>8474</v>
      </c>
      <c r="I84" s="519">
        <v>0</v>
      </c>
      <c r="J84" s="529">
        <v>0</v>
      </c>
    </row>
    <row r="85" spans="1:10" ht="68.45" customHeight="1" x14ac:dyDescent="0.25">
      <c r="A85" s="453">
        <v>1216012</v>
      </c>
      <c r="B85" s="517">
        <v>6012</v>
      </c>
      <c r="C85" s="532" t="s">
        <v>29</v>
      </c>
      <c r="D85" s="564" t="s">
        <v>244</v>
      </c>
      <c r="E85" s="518" t="s">
        <v>158</v>
      </c>
      <c r="F85" s="518" t="s">
        <v>676</v>
      </c>
      <c r="G85" s="519">
        <f t="shared" si="0"/>
        <v>5671150</v>
      </c>
      <c r="H85" s="519">
        <f>13000000-7328850</f>
        <v>5671150</v>
      </c>
      <c r="I85" s="519">
        <v>0</v>
      </c>
      <c r="J85" s="529">
        <v>0</v>
      </c>
    </row>
    <row r="86" spans="1:10" ht="63" customHeight="1" x14ac:dyDescent="0.25">
      <c r="A86" s="453" t="s">
        <v>135</v>
      </c>
      <c r="B86" s="517" t="s">
        <v>136</v>
      </c>
      <c r="C86" s="517" t="s">
        <v>29</v>
      </c>
      <c r="D86" s="528" t="s">
        <v>137</v>
      </c>
      <c r="E86" s="518" t="s">
        <v>158</v>
      </c>
      <c r="F86" s="518" t="s">
        <v>675</v>
      </c>
      <c r="G86" s="519">
        <f t="shared" si="0"/>
        <v>1231641</v>
      </c>
      <c r="H86" s="519">
        <v>1231641</v>
      </c>
      <c r="I86" s="519">
        <v>0</v>
      </c>
      <c r="J86" s="529">
        <v>0</v>
      </c>
    </row>
    <row r="87" spans="1:10" ht="63" customHeight="1" x14ac:dyDescent="0.25">
      <c r="A87" s="453">
        <v>1216014</v>
      </c>
      <c r="B87" s="517">
        <v>6014</v>
      </c>
      <c r="C87" s="517" t="s">
        <v>29</v>
      </c>
      <c r="D87" s="528" t="s">
        <v>449</v>
      </c>
      <c r="E87" s="518" t="s">
        <v>158</v>
      </c>
      <c r="F87" s="518" t="s">
        <v>675</v>
      </c>
      <c r="G87" s="519">
        <f t="shared" si="0"/>
        <v>5400000</v>
      </c>
      <c r="H87" s="519">
        <v>0</v>
      </c>
      <c r="I87" s="519">
        <v>5400000</v>
      </c>
      <c r="J87" s="529">
        <v>5400000</v>
      </c>
    </row>
    <row r="88" spans="1:10" ht="63.6" customHeight="1" x14ac:dyDescent="0.25">
      <c r="A88" s="453" t="s">
        <v>138</v>
      </c>
      <c r="B88" s="517" t="s">
        <v>28</v>
      </c>
      <c r="C88" s="517" t="s">
        <v>29</v>
      </c>
      <c r="D88" s="528" t="s">
        <v>30</v>
      </c>
      <c r="E88" s="518" t="s">
        <v>158</v>
      </c>
      <c r="F88" s="518" t="s">
        <v>675</v>
      </c>
      <c r="G88" s="519">
        <f t="shared" si="0"/>
        <v>51723690</v>
      </c>
      <c r="H88" s="519">
        <f>35374609+45564+6418944-6418944+478735+692416+1808000+8364366</f>
        <v>46763690</v>
      </c>
      <c r="I88" s="519">
        <f>J88</f>
        <v>4960000</v>
      </c>
      <c r="J88" s="529">
        <f>0+4960000</f>
        <v>4960000</v>
      </c>
    </row>
    <row r="89" spans="1:10" ht="70.900000000000006" customHeight="1" x14ac:dyDescent="0.25">
      <c r="A89" s="453" t="s">
        <v>138</v>
      </c>
      <c r="B89" s="517" t="s">
        <v>28</v>
      </c>
      <c r="C89" s="517" t="s">
        <v>29</v>
      </c>
      <c r="D89" s="528" t="s">
        <v>30</v>
      </c>
      <c r="E89" s="518" t="s">
        <v>252</v>
      </c>
      <c r="F89" s="518" t="s">
        <v>627</v>
      </c>
      <c r="G89" s="519">
        <f t="shared" si="0"/>
        <v>721500</v>
      </c>
      <c r="H89" s="526">
        <f>0+721500</f>
        <v>721500</v>
      </c>
      <c r="I89" s="519">
        <v>0</v>
      </c>
      <c r="J89" s="529">
        <v>0</v>
      </c>
    </row>
    <row r="90" spans="1:10" ht="80.45" customHeight="1" x14ac:dyDescent="0.25">
      <c r="A90" s="453" t="s">
        <v>138</v>
      </c>
      <c r="B90" s="517" t="s">
        <v>28</v>
      </c>
      <c r="C90" s="517" t="s">
        <v>29</v>
      </c>
      <c r="D90" s="528" t="s">
        <v>30</v>
      </c>
      <c r="E90" s="518" t="s">
        <v>615</v>
      </c>
      <c r="F90" s="518" t="s">
        <v>616</v>
      </c>
      <c r="G90" s="519">
        <f t="shared" si="0"/>
        <v>127967</v>
      </c>
      <c r="H90" s="526">
        <f>0+127967</f>
        <v>127967</v>
      </c>
      <c r="I90" s="519">
        <v>0</v>
      </c>
      <c r="J90" s="529">
        <v>0</v>
      </c>
    </row>
    <row r="91" spans="1:10" ht="175.15" customHeight="1" x14ac:dyDescent="0.25">
      <c r="A91" s="559">
        <v>1216071</v>
      </c>
      <c r="B91" s="560">
        <v>6071</v>
      </c>
      <c r="C91" s="565" t="s">
        <v>279</v>
      </c>
      <c r="D91" s="561" t="s">
        <v>277</v>
      </c>
      <c r="E91" s="518" t="s">
        <v>158</v>
      </c>
      <c r="F91" s="518" t="s">
        <v>675</v>
      </c>
      <c r="G91" s="519">
        <f t="shared" si="0"/>
        <v>7164584</v>
      </c>
      <c r="H91" s="526">
        <f>0+7328850+956519-1120785</f>
        <v>7164584</v>
      </c>
      <c r="I91" s="519">
        <v>0</v>
      </c>
      <c r="J91" s="529">
        <v>0</v>
      </c>
    </row>
    <row r="92" spans="1:10" ht="63" customHeight="1" x14ac:dyDescent="0.25">
      <c r="A92" s="559" t="s">
        <v>139</v>
      </c>
      <c r="B92" s="560" t="s">
        <v>140</v>
      </c>
      <c r="C92" s="560" t="s">
        <v>141</v>
      </c>
      <c r="D92" s="561" t="s">
        <v>142</v>
      </c>
      <c r="E92" s="525" t="s">
        <v>158</v>
      </c>
      <c r="F92" s="518" t="s">
        <v>675</v>
      </c>
      <c r="G92" s="526">
        <f t="shared" si="0"/>
        <v>3013221</v>
      </c>
      <c r="H92" s="526">
        <f>2286103+347845+379273</f>
        <v>3013221</v>
      </c>
      <c r="I92" s="519">
        <v>0</v>
      </c>
      <c r="J92" s="529">
        <v>0</v>
      </c>
    </row>
    <row r="93" spans="1:10" ht="63.6" customHeight="1" x14ac:dyDescent="0.25">
      <c r="A93" s="501">
        <v>1217693</v>
      </c>
      <c r="B93" s="502">
        <v>7693</v>
      </c>
      <c r="C93" s="532" t="s">
        <v>178</v>
      </c>
      <c r="D93" s="535" t="s">
        <v>446</v>
      </c>
      <c r="E93" s="518" t="s">
        <v>158</v>
      </c>
      <c r="F93" s="518" t="s">
        <v>675</v>
      </c>
      <c r="G93" s="526">
        <f t="shared" ref="G93:G94" si="4">H93+I93</f>
        <v>1138325</v>
      </c>
      <c r="H93" s="548">
        <f>0+1236594-98269</f>
        <v>1138325</v>
      </c>
      <c r="I93" s="536">
        <v>0</v>
      </c>
      <c r="J93" s="537">
        <v>0</v>
      </c>
    </row>
    <row r="94" spans="1:10" ht="66.599999999999994" customHeight="1" thickBot="1" x14ac:dyDescent="0.3">
      <c r="A94" s="538" t="s">
        <v>143</v>
      </c>
      <c r="B94" s="531" t="s">
        <v>144</v>
      </c>
      <c r="C94" s="531" t="s">
        <v>145</v>
      </c>
      <c r="D94" s="533" t="s">
        <v>146</v>
      </c>
      <c r="E94" s="535" t="s">
        <v>507</v>
      </c>
      <c r="F94" s="566" t="s">
        <v>249</v>
      </c>
      <c r="G94" s="536">
        <f t="shared" si="4"/>
        <v>359600</v>
      </c>
      <c r="H94" s="536">
        <v>0</v>
      </c>
      <c r="I94" s="536">
        <v>359600</v>
      </c>
      <c r="J94" s="537">
        <v>0</v>
      </c>
    </row>
    <row r="95" spans="1:10" ht="63" customHeight="1" thickBot="1" x14ac:dyDescent="0.3">
      <c r="A95" s="506" t="s">
        <v>147</v>
      </c>
      <c r="B95" s="507" t="s">
        <v>16</v>
      </c>
      <c r="C95" s="507" t="s">
        <v>16</v>
      </c>
      <c r="D95" s="508" t="s">
        <v>148</v>
      </c>
      <c r="E95" s="509" t="s">
        <v>16</v>
      </c>
      <c r="F95" s="509" t="s">
        <v>16</v>
      </c>
      <c r="G95" s="510">
        <f>H95+I95</f>
        <v>90728466</v>
      </c>
      <c r="H95" s="510">
        <f>H96</f>
        <v>0</v>
      </c>
      <c r="I95" s="510">
        <f>I96</f>
        <v>90728466</v>
      </c>
      <c r="J95" s="511">
        <f>J96</f>
        <v>90728466</v>
      </c>
    </row>
    <row r="96" spans="1:10" ht="44.25" customHeight="1" x14ac:dyDescent="0.25">
      <c r="A96" s="567">
        <v>1510000</v>
      </c>
      <c r="B96" s="547" t="s">
        <v>16</v>
      </c>
      <c r="C96" s="547" t="s">
        <v>16</v>
      </c>
      <c r="D96" s="514" t="s">
        <v>148</v>
      </c>
      <c r="E96" s="515" t="s">
        <v>16</v>
      </c>
      <c r="F96" s="515" t="s">
        <v>16</v>
      </c>
      <c r="G96" s="526">
        <f>H96+I96</f>
        <v>90728466</v>
      </c>
      <c r="H96" s="526">
        <f>H99+H102</f>
        <v>0</v>
      </c>
      <c r="I96" s="526">
        <f>I97+I98+I102+I99+I100+I103+I104+I106+I105+J107+I108+I101</f>
        <v>90728466</v>
      </c>
      <c r="J96" s="526">
        <f>J97+J98+J102+J99+J100+J103+J104+J106+J105+J107+J108+J101</f>
        <v>90728466</v>
      </c>
    </row>
    <row r="97" spans="1:10" ht="64.5" customHeight="1" x14ac:dyDescent="0.25">
      <c r="A97" s="559">
        <v>1511021</v>
      </c>
      <c r="B97" s="568">
        <v>1021</v>
      </c>
      <c r="C97" s="569" t="s">
        <v>53</v>
      </c>
      <c r="D97" s="570" t="s">
        <v>444</v>
      </c>
      <c r="E97" s="535" t="s">
        <v>290</v>
      </c>
      <c r="F97" s="535" t="s">
        <v>672</v>
      </c>
      <c r="G97" s="526">
        <f>H97+J97</f>
        <v>33671556</v>
      </c>
      <c r="H97" s="526">
        <v>0</v>
      </c>
      <c r="I97" s="526">
        <f>J97</f>
        <v>33671556</v>
      </c>
      <c r="J97" s="571">
        <f>0+200000+11205842+268825+4384884+874564+12345379-874564+4389729+618654+258243</f>
        <v>33671556</v>
      </c>
    </row>
    <row r="98" spans="1:10" ht="67.5" customHeight="1" x14ac:dyDescent="0.25">
      <c r="A98" s="559">
        <v>1512010</v>
      </c>
      <c r="B98" s="568">
        <v>2010</v>
      </c>
      <c r="C98" s="569" t="s">
        <v>22</v>
      </c>
      <c r="D98" s="528" t="s">
        <v>23</v>
      </c>
      <c r="E98" s="535" t="s">
        <v>290</v>
      </c>
      <c r="F98" s="535" t="s">
        <v>672</v>
      </c>
      <c r="G98" s="526">
        <f>H98+J98</f>
        <v>103135</v>
      </c>
      <c r="H98" s="526">
        <v>0</v>
      </c>
      <c r="I98" s="526">
        <f>J98</f>
        <v>103135</v>
      </c>
      <c r="J98" s="571">
        <v>103135</v>
      </c>
    </row>
    <row r="99" spans="1:10" s="684" customFormat="1" ht="61.5" customHeight="1" x14ac:dyDescent="0.25">
      <c r="A99" s="259" t="s">
        <v>250</v>
      </c>
      <c r="B99" s="260" t="s">
        <v>107</v>
      </c>
      <c r="C99" s="569" t="s">
        <v>108</v>
      </c>
      <c r="D99" s="570" t="s">
        <v>251</v>
      </c>
      <c r="E99" s="518" t="s">
        <v>252</v>
      </c>
      <c r="F99" s="518" t="s">
        <v>627</v>
      </c>
      <c r="G99" s="526">
        <f t="shared" ref="G99:G108" si="5">H99+J99</f>
        <v>2478809</v>
      </c>
      <c r="H99" s="519">
        <v>0</v>
      </c>
      <c r="I99" s="526">
        <f t="shared" ref="I99:I105" si="6">J99</f>
        <v>2478809</v>
      </c>
      <c r="J99" s="519">
        <f>2295144-694188+1568308-690455</f>
        <v>2478809</v>
      </c>
    </row>
    <row r="100" spans="1:10" s="684" customFormat="1" ht="76.150000000000006" customHeight="1" x14ac:dyDescent="0.25">
      <c r="A100" s="572" t="s">
        <v>260</v>
      </c>
      <c r="B100" s="573" t="s">
        <v>261</v>
      </c>
      <c r="C100" s="574" t="s">
        <v>29</v>
      </c>
      <c r="D100" s="575" t="s">
        <v>244</v>
      </c>
      <c r="E100" s="518" t="s">
        <v>158</v>
      </c>
      <c r="F100" s="518" t="s">
        <v>675</v>
      </c>
      <c r="G100" s="526">
        <f t="shared" si="5"/>
        <v>31380905</v>
      </c>
      <c r="H100" s="536">
        <v>0</v>
      </c>
      <c r="I100" s="526">
        <f t="shared" si="6"/>
        <v>31380905</v>
      </c>
      <c r="J100" s="536">
        <f>1444539-1444539+1497526+752140+1748351+2894056+1183600+182148+8935634+4000000+187450+10000000</f>
        <v>31380905</v>
      </c>
    </row>
    <row r="101" spans="1:10" s="684" customFormat="1" ht="67.900000000000006" customHeight="1" x14ac:dyDescent="0.25">
      <c r="A101" s="572" t="s">
        <v>617</v>
      </c>
      <c r="B101" s="573" t="s">
        <v>136</v>
      </c>
      <c r="C101" s="574" t="s">
        <v>29</v>
      </c>
      <c r="D101" s="575" t="s">
        <v>618</v>
      </c>
      <c r="E101" s="518" t="s">
        <v>158</v>
      </c>
      <c r="F101" s="518" t="s">
        <v>675</v>
      </c>
      <c r="G101" s="526">
        <f t="shared" si="5"/>
        <v>286222</v>
      </c>
      <c r="H101" s="536">
        <v>0</v>
      </c>
      <c r="I101" s="526">
        <f>J101</f>
        <v>286222</v>
      </c>
      <c r="J101" s="536">
        <f>60000+226222</f>
        <v>286222</v>
      </c>
    </row>
    <row r="102" spans="1:10" ht="60" customHeight="1" x14ac:dyDescent="0.25">
      <c r="A102" s="453">
        <v>1516030</v>
      </c>
      <c r="B102" s="517">
        <v>6030</v>
      </c>
      <c r="C102" s="523" t="s">
        <v>29</v>
      </c>
      <c r="D102" s="528" t="s">
        <v>30</v>
      </c>
      <c r="E102" s="518" t="s">
        <v>158</v>
      </c>
      <c r="F102" s="518" t="s">
        <v>675</v>
      </c>
      <c r="G102" s="526">
        <f t="shared" si="5"/>
        <v>6575279</v>
      </c>
      <c r="H102" s="519">
        <v>0</v>
      </c>
      <c r="I102" s="526">
        <f t="shared" si="6"/>
        <v>6575279</v>
      </c>
      <c r="J102" s="519">
        <f>497622+259844+253652+1104357+4003149-93145+549800</f>
        <v>6575279</v>
      </c>
    </row>
    <row r="103" spans="1:10" ht="64.5" customHeight="1" x14ac:dyDescent="0.25">
      <c r="A103" s="453">
        <v>1516030</v>
      </c>
      <c r="B103" s="517">
        <v>6030</v>
      </c>
      <c r="C103" s="523" t="s">
        <v>29</v>
      </c>
      <c r="D103" s="528" t="s">
        <v>30</v>
      </c>
      <c r="E103" s="535" t="s">
        <v>290</v>
      </c>
      <c r="F103" s="535" t="s">
        <v>672</v>
      </c>
      <c r="G103" s="526">
        <f t="shared" si="5"/>
        <v>406558</v>
      </c>
      <c r="H103" s="536">
        <v>0</v>
      </c>
      <c r="I103" s="526">
        <f t="shared" si="6"/>
        <v>406558</v>
      </c>
      <c r="J103" s="536">
        <v>406558</v>
      </c>
    </row>
    <row r="104" spans="1:10" ht="64.5" customHeight="1" x14ac:dyDescent="0.25">
      <c r="A104" s="453" t="s">
        <v>286</v>
      </c>
      <c r="B104" s="517" t="s">
        <v>287</v>
      </c>
      <c r="C104" s="517" t="s">
        <v>288</v>
      </c>
      <c r="D104" s="518" t="s">
        <v>289</v>
      </c>
      <c r="E104" s="518" t="s">
        <v>290</v>
      </c>
      <c r="F104" s="535" t="s">
        <v>672</v>
      </c>
      <c r="G104" s="526">
        <f>H104+J104</f>
        <v>3338727</v>
      </c>
      <c r="H104" s="519">
        <v>0</v>
      </c>
      <c r="I104" s="526">
        <f t="shared" si="6"/>
        <v>3338727</v>
      </c>
      <c r="J104" s="519">
        <f>2138727+49800+1550200-400000</f>
        <v>3338727</v>
      </c>
    </row>
    <row r="105" spans="1:10" ht="61.5" customHeight="1" x14ac:dyDescent="0.25">
      <c r="A105" s="576">
        <v>1517324</v>
      </c>
      <c r="B105" s="531">
        <v>7324</v>
      </c>
      <c r="C105" s="532" t="s">
        <v>288</v>
      </c>
      <c r="D105" s="535" t="s">
        <v>489</v>
      </c>
      <c r="E105" s="518" t="s">
        <v>290</v>
      </c>
      <c r="F105" s="535" t="s">
        <v>672</v>
      </c>
      <c r="G105" s="526">
        <f t="shared" si="5"/>
        <v>1501526</v>
      </c>
      <c r="H105" s="548">
        <v>0</v>
      </c>
      <c r="I105" s="526">
        <f t="shared" si="6"/>
        <v>1501526</v>
      </c>
      <c r="J105" s="548">
        <v>1501526</v>
      </c>
    </row>
    <row r="106" spans="1:10" ht="61.5" customHeight="1" x14ac:dyDescent="0.25">
      <c r="A106" s="577">
        <v>1517330</v>
      </c>
      <c r="B106" s="517">
        <v>7330</v>
      </c>
      <c r="C106" s="578" t="s">
        <v>288</v>
      </c>
      <c r="D106" s="570" t="s">
        <v>448</v>
      </c>
      <c r="E106" s="518" t="s">
        <v>290</v>
      </c>
      <c r="F106" s="535" t="s">
        <v>672</v>
      </c>
      <c r="G106" s="526">
        <f t="shared" si="5"/>
        <v>1264018</v>
      </c>
      <c r="H106" s="519">
        <v>0</v>
      </c>
      <c r="I106" s="519">
        <f>1477980-213962</f>
        <v>1264018</v>
      </c>
      <c r="J106" s="529">
        <f t="shared" ref="J106" si="7">I106</f>
        <v>1264018</v>
      </c>
    </row>
    <row r="107" spans="1:10" ht="64.5" customHeight="1" x14ac:dyDescent="0.25">
      <c r="A107" s="577">
        <v>1517461</v>
      </c>
      <c r="B107" s="517">
        <v>7461</v>
      </c>
      <c r="C107" s="517" t="s">
        <v>141</v>
      </c>
      <c r="D107" s="528" t="s">
        <v>142</v>
      </c>
      <c r="E107" s="518" t="s">
        <v>158</v>
      </c>
      <c r="F107" s="518" t="s">
        <v>670</v>
      </c>
      <c r="G107" s="519">
        <f>H107+J107</f>
        <v>7679731</v>
      </c>
      <c r="H107" s="519">
        <v>0</v>
      </c>
      <c r="I107" s="920">
        <f>J107</f>
        <v>7679731</v>
      </c>
      <c r="J107" s="519">
        <f>12000000+6418944-478735+1059791+148634-12000000+531097</f>
        <v>7679731</v>
      </c>
    </row>
    <row r="108" spans="1:10" ht="67.5" customHeight="1" thickBot="1" x14ac:dyDescent="0.3">
      <c r="A108" s="576">
        <v>1518110</v>
      </c>
      <c r="B108" s="502">
        <v>8110</v>
      </c>
      <c r="C108" s="542" t="s">
        <v>239</v>
      </c>
      <c r="D108" s="579" t="s">
        <v>240</v>
      </c>
      <c r="E108" s="518" t="s">
        <v>639</v>
      </c>
      <c r="F108" s="41" t="s">
        <v>674</v>
      </c>
      <c r="G108" s="519">
        <f t="shared" si="5"/>
        <v>2042000</v>
      </c>
      <c r="H108" s="548">
        <v>0</v>
      </c>
      <c r="I108" s="548">
        <f>J108</f>
        <v>2042000</v>
      </c>
      <c r="J108" s="545">
        <f>0+2042000</f>
        <v>2042000</v>
      </c>
    </row>
    <row r="109" spans="1:10" ht="45" customHeight="1" thickBot="1" x14ac:dyDescent="0.3">
      <c r="A109" s="506" t="s">
        <v>206</v>
      </c>
      <c r="B109" s="580"/>
      <c r="C109" s="580"/>
      <c r="D109" s="581" t="s">
        <v>455</v>
      </c>
      <c r="E109" s="582"/>
      <c r="F109" s="582"/>
      <c r="G109" s="510">
        <f>G110</f>
        <v>145000</v>
      </c>
      <c r="H109" s="510">
        <f t="shared" ref="H109:J110" si="8">H110</f>
        <v>145000</v>
      </c>
      <c r="I109" s="510">
        <f t="shared" si="8"/>
        <v>0</v>
      </c>
      <c r="J109" s="511">
        <f t="shared" si="8"/>
        <v>0</v>
      </c>
    </row>
    <row r="110" spans="1:10" ht="45.75" customHeight="1" x14ac:dyDescent="0.25">
      <c r="A110" s="563">
        <v>1610000</v>
      </c>
      <c r="B110" s="560"/>
      <c r="C110" s="560"/>
      <c r="D110" s="583" t="s">
        <v>455</v>
      </c>
      <c r="E110" s="525"/>
      <c r="F110" s="525"/>
      <c r="G110" s="526">
        <f>G111</f>
        <v>145000</v>
      </c>
      <c r="H110" s="526">
        <f t="shared" si="8"/>
        <v>145000</v>
      </c>
      <c r="I110" s="526">
        <f t="shared" si="8"/>
        <v>0</v>
      </c>
      <c r="J110" s="571">
        <f t="shared" si="8"/>
        <v>0</v>
      </c>
    </row>
    <row r="111" spans="1:10" ht="61.5" customHeight="1" thickBot="1" x14ac:dyDescent="0.3">
      <c r="A111" s="584" t="s">
        <v>454</v>
      </c>
      <c r="B111" s="531">
        <v>6014</v>
      </c>
      <c r="C111" s="532" t="s">
        <v>29</v>
      </c>
      <c r="D111" s="535" t="s">
        <v>449</v>
      </c>
      <c r="E111" s="518" t="s">
        <v>158</v>
      </c>
      <c r="F111" s="518" t="s">
        <v>670</v>
      </c>
      <c r="G111" s="536">
        <f>H111+J111</f>
        <v>145000</v>
      </c>
      <c r="H111" s="536">
        <v>145000</v>
      </c>
      <c r="I111" s="536">
        <v>0</v>
      </c>
      <c r="J111" s="537">
        <v>0</v>
      </c>
    </row>
    <row r="112" spans="1:10" ht="51.75" customHeight="1" thickBot="1" x14ac:dyDescent="0.3">
      <c r="A112" s="506">
        <v>2700000</v>
      </c>
      <c r="B112" s="507"/>
      <c r="C112" s="507"/>
      <c r="D112" s="581" t="s">
        <v>211</v>
      </c>
      <c r="E112" s="509"/>
      <c r="F112" s="509"/>
      <c r="G112" s="510">
        <f>G113</f>
        <v>4620660</v>
      </c>
      <c r="H112" s="510">
        <f t="shared" ref="H112:J112" si="9">H113</f>
        <v>4620660</v>
      </c>
      <c r="I112" s="510">
        <f t="shared" si="9"/>
        <v>0</v>
      </c>
      <c r="J112" s="511">
        <f t="shared" si="9"/>
        <v>0</v>
      </c>
    </row>
    <row r="113" spans="1:16" ht="48.75" customHeight="1" x14ac:dyDescent="0.25">
      <c r="A113" s="563">
        <v>2710000</v>
      </c>
      <c r="B113" s="513"/>
      <c r="C113" s="513"/>
      <c r="D113" s="583" t="s">
        <v>211</v>
      </c>
      <c r="E113" s="525"/>
      <c r="F113" s="525"/>
      <c r="G113" s="526">
        <f>G114+G115</f>
        <v>4620660</v>
      </c>
      <c r="H113" s="526">
        <f>H114+H115</f>
        <v>4620660</v>
      </c>
      <c r="I113" s="526">
        <f t="shared" ref="I113:J113" si="10">I114+I115</f>
        <v>0</v>
      </c>
      <c r="J113" s="526">
        <f t="shared" si="10"/>
        <v>0</v>
      </c>
    </row>
    <row r="114" spans="1:16" ht="67.900000000000006" customHeight="1" x14ac:dyDescent="0.25">
      <c r="A114" s="453">
        <v>2717413</v>
      </c>
      <c r="B114" s="517">
        <v>7413</v>
      </c>
      <c r="C114" s="523" t="s">
        <v>247</v>
      </c>
      <c r="D114" s="518" t="s">
        <v>246</v>
      </c>
      <c r="E114" s="518" t="s">
        <v>245</v>
      </c>
      <c r="F114" s="518" t="s">
        <v>453</v>
      </c>
      <c r="G114" s="519">
        <f>H114+J114</f>
        <v>4440660</v>
      </c>
      <c r="H114" s="519">
        <f>5407680-967020</f>
        <v>4440660</v>
      </c>
      <c r="I114" s="519">
        <v>0</v>
      </c>
      <c r="J114" s="529">
        <v>0</v>
      </c>
    </row>
    <row r="115" spans="1:16" ht="38.25" customHeight="1" thickBot="1" x14ac:dyDescent="0.3">
      <c r="A115" s="501">
        <v>2719770</v>
      </c>
      <c r="B115" s="502">
        <v>9770</v>
      </c>
      <c r="C115" s="585" t="s">
        <v>226</v>
      </c>
      <c r="D115" s="586" t="s">
        <v>619</v>
      </c>
      <c r="E115" s="549" t="s">
        <v>620</v>
      </c>
      <c r="F115" s="534" t="s">
        <v>628</v>
      </c>
      <c r="G115" s="519">
        <f>H115+J115</f>
        <v>180000</v>
      </c>
      <c r="H115" s="548">
        <f>0+180000</f>
        <v>180000</v>
      </c>
      <c r="I115" s="548">
        <v>0</v>
      </c>
      <c r="J115" s="545">
        <v>0</v>
      </c>
    </row>
    <row r="116" spans="1:16" ht="21" customHeight="1" thickBot="1" x14ac:dyDescent="0.3">
      <c r="A116" s="506">
        <v>3100000</v>
      </c>
      <c r="B116" s="580"/>
      <c r="C116" s="587"/>
      <c r="D116" s="588"/>
      <c r="E116" s="582"/>
      <c r="F116" s="582"/>
      <c r="G116" s="510">
        <f>G117</f>
        <v>1491803</v>
      </c>
      <c r="H116" s="510">
        <f t="shared" ref="H116:J116" si="11">H117</f>
        <v>1491803</v>
      </c>
      <c r="I116" s="510">
        <f t="shared" si="11"/>
        <v>0</v>
      </c>
      <c r="J116" s="511">
        <f t="shared" si="11"/>
        <v>0</v>
      </c>
    </row>
    <row r="117" spans="1:16" ht="46.5" customHeight="1" x14ac:dyDescent="0.25">
      <c r="A117" s="563">
        <v>3110000</v>
      </c>
      <c r="B117" s="502"/>
      <c r="C117" s="542"/>
      <c r="D117" s="583" t="s">
        <v>215</v>
      </c>
      <c r="E117" s="534"/>
      <c r="F117" s="534"/>
      <c r="G117" s="548">
        <f>G118+G119</f>
        <v>1491803</v>
      </c>
      <c r="H117" s="548">
        <f>H118+H119</f>
        <v>1491803</v>
      </c>
      <c r="I117" s="548">
        <f t="shared" ref="I117:J117" si="12">I118+I119</f>
        <v>0</v>
      </c>
      <c r="J117" s="545">
        <f t="shared" si="12"/>
        <v>0</v>
      </c>
    </row>
    <row r="118" spans="1:16" ht="144.75" customHeight="1" x14ac:dyDescent="0.25">
      <c r="A118" s="538">
        <v>3117693</v>
      </c>
      <c r="B118" s="531">
        <v>7693</v>
      </c>
      <c r="C118" s="532" t="s">
        <v>178</v>
      </c>
      <c r="D118" s="535" t="s">
        <v>446</v>
      </c>
      <c r="E118" s="518" t="s">
        <v>231</v>
      </c>
      <c r="F118" s="518" t="s">
        <v>498</v>
      </c>
      <c r="G118" s="536">
        <f>H118+J118</f>
        <v>153500</v>
      </c>
      <c r="H118" s="536">
        <f>0+153500</f>
        <v>153500</v>
      </c>
      <c r="I118" s="536">
        <v>0</v>
      </c>
      <c r="J118" s="537">
        <v>0</v>
      </c>
    </row>
    <row r="119" spans="1:16" ht="63" customHeight="1" x14ac:dyDescent="0.25">
      <c r="A119" s="538">
        <v>3118110</v>
      </c>
      <c r="B119" s="531">
        <v>8110</v>
      </c>
      <c r="C119" s="532" t="s">
        <v>239</v>
      </c>
      <c r="D119" s="535" t="s">
        <v>240</v>
      </c>
      <c r="E119" s="518" t="s">
        <v>158</v>
      </c>
      <c r="F119" s="518" t="s">
        <v>675</v>
      </c>
      <c r="G119" s="536">
        <f>H119+J119</f>
        <v>1338303</v>
      </c>
      <c r="H119" s="536">
        <f>0+73320+1264983</f>
        <v>1338303</v>
      </c>
      <c r="I119" s="536">
        <v>0</v>
      </c>
      <c r="J119" s="537">
        <v>0</v>
      </c>
    </row>
    <row r="120" spans="1:16" ht="16.5" thickBot="1" x14ac:dyDescent="0.3">
      <c r="A120" s="589" t="s">
        <v>6</v>
      </c>
      <c r="B120" s="590" t="s">
        <v>6</v>
      </c>
      <c r="C120" s="590" t="s">
        <v>6</v>
      </c>
      <c r="D120" s="591" t="s">
        <v>150</v>
      </c>
      <c r="E120" s="590" t="s">
        <v>6</v>
      </c>
      <c r="F120" s="590" t="s">
        <v>6</v>
      </c>
      <c r="G120" s="592">
        <f>G23+G41+G56+G64+G67+G82+G95+G109+G112+G116</f>
        <v>389859307</v>
      </c>
      <c r="H120" s="592">
        <f>H23+H41+H56+H64+H67+H82+H95+H109+H112+H116</f>
        <v>235452129</v>
      </c>
      <c r="I120" s="592">
        <f>I23+I41+I56+I64+I67+I82+I95</f>
        <v>154407178</v>
      </c>
      <c r="J120" s="593">
        <f>J23+J41+J56+J64+J67+J82+J95</f>
        <v>152426798</v>
      </c>
    </row>
    <row r="121" spans="1:16" ht="13.5" customHeight="1" x14ac:dyDescent="0.25">
      <c r="A121" s="685"/>
      <c r="B121" s="685"/>
      <c r="C121" s="685"/>
      <c r="D121" s="686"/>
      <c r="E121" s="686"/>
      <c r="F121" s="686"/>
      <c r="G121" s="687"/>
      <c r="H121" s="687"/>
      <c r="I121" s="687"/>
      <c r="J121" s="687"/>
    </row>
    <row r="122" spans="1:16" ht="13.5" customHeight="1" x14ac:dyDescent="0.25">
      <c r="A122" s="685"/>
      <c r="B122" s="685"/>
      <c r="C122" s="685"/>
      <c r="D122" s="686"/>
      <c r="E122" s="686"/>
      <c r="F122" s="686"/>
      <c r="G122" s="687"/>
      <c r="H122" s="687"/>
      <c r="I122" s="687"/>
      <c r="J122" s="687"/>
    </row>
    <row r="123" spans="1:16" ht="17.25" customHeight="1" x14ac:dyDescent="0.25">
      <c r="A123" s="688"/>
      <c r="B123" s="688"/>
      <c r="C123" s="688"/>
      <c r="D123" s="688"/>
      <c r="E123" s="688"/>
      <c r="F123" s="688"/>
      <c r="G123" s="688"/>
      <c r="H123" s="688"/>
      <c r="I123" s="688"/>
      <c r="J123" s="688"/>
    </row>
    <row r="124" spans="1:16" s="695" customFormat="1" ht="25.5" customHeight="1" x14ac:dyDescent="0.3">
      <c r="A124" s="834" t="s">
        <v>467</v>
      </c>
      <c r="B124" s="834"/>
      <c r="C124" s="834"/>
      <c r="D124" s="834"/>
      <c r="E124" s="834"/>
      <c r="F124" s="834"/>
      <c r="G124" s="834"/>
      <c r="H124" s="689"/>
      <c r="I124" s="689"/>
      <c r="J124" s="690"/>
      <c r="K124" s="691"/>
      <c r="L124" s="692"/>
      <c r="M124" s="691"/>
      <c r="N124" s="691"/>
      <c r="O124" s="693"/>
      <c r="P124" s="694"/>
    </row>
    <row r="125" spans="1:16" s="697" customFormat="1" ht="20.25" x14ac:dyDescent="0.3">
      <c r="A125" s="696"/>
      <c r="B125" s="696"/>
      <c r="G125" s="698"/>
    </row>
    <row r="126" spans="1:16" s="673" customFormat="1" ht="15.75" x14ac:dyDescent="0.2">
      <c r="A126" s="699"/>
      <c r="B126" s="699"/>
    </row>
  </sheetData>
  <mergeCells count="13">
    <mergeCell ref="A124:G124"/>
    <mergeCell ref="H5:I5"/>
    <mergeCell ref="H20:H21"/>
    <mergeCell ref="I20:J20"/>
    <mergeCell ref="A16:J16"/>
    <mergeCell ref="A18:B18"/>
    <mergeCell ref="A20:A21"/>
    <mergeCell ref="B20:B21"/>
    <mergeCell ref="C20:C21"/>
    <mergeCell ref="D20:D21"/>
    <mergeCell ref="E20:E21"/>
    <mergeCell ref="F20:F21"/>
    <mergeCell ref="G20:G21"/>
  </mergeCells>
  <pageMargins left="1.1811023622047245" right="0.39370078740157483" top="0.78740157480314965" bottom="0.78740157480314965" header="0.31496062992125984" footer="0.31496062992125984"/>
  <pageSetup paperSize="9" scale="65" orientation="landscape" r:id="rId1"/>
  <rowBreaks count="2" manualBreakCount="2">
    <brk id="35" max="9" man="1"/>
    <brk id="4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17"/>
  <sheetViews>
    <sheetView view="pageBreakPreview" zoomScale="70" zoomScaleNormal="100" zoomScaleSheetLayoutView="70" workbookViewId="0">
      <selection activeCell="Q20" sqref="Q20"/>
    </sheetView>
  </sheetViews>
  <sheetFormatPr defaultColWidth="9.28515625" defaultRowHeight="15" x14ac:dyDescent="0.25"/>
  <cols>
    <col min="1" max="1" width="14.5703125" style="264" customWidth="1"/>
    <col min="2" max="2" width="15.140625" style="265" customWidth="1"/>
    <col min="3" max="3" width="11" style="266" customWidth="1"/>
    <col min="4" max="4" width="51.42578125" style="267" customWidth="1"/>
    <col min="5" max="5" width="60.140625" style="268" customWidth="1"/>
    <col min="6" max="6" width="15.28515625" style="266" customWidth="1"/>
    <col min="7" max="7" width="18" style="269" customWidth="1"/>
    <col min="8" max="8" width="15.7109375" style="269" customWidth="1"/>
    <col min="9" max="9" width="13.85546875" style="269" customWidth="1"/>
    <col min="10" max="10" width="28.140625" style="270" customWidth="1"/>
    <col min="11" max="11" width="13.85546875" style="270" customWidth="1"/>
    <col min="12" max="12" width="9.28515625" style="264"/>
    <col min="13" max="13" width="16.85546875" style="264" bestFit="1" customWidth="1"/>
    <col min="14" max="14" width="9.28515625" style="264"/>
    <col min="15" max="15" width="13.7109375" style="264" bestFit="1" customWidth="1"/>
    <col min="16" max="256" width="9.28515625" style="264"/>
    <col min="257" max="257" width="15" style="264" customWidth="1"/>
    <col min="258" max="258" width="12.7109375" style="264" customWidth="1"/>
    <col min="259" max="259" width="11.7109375" style="264" customWidth="1"/>
    <col min="260" max="260" width="44.85546875" style="264" customWidth="1"/>
    <col min="261" max="261" width="54.7109375" style="264" customWidth="1"/>
    <col min="262" max="262" width="15.28515625" style="264" customWidth="1"/>
    <col min="263" max="264" width="19.28515625" style="264" customWidth="1"/>
    <col min="265" max="265" width="13.85546875" style="264" customWidth="1"/>
    <col min="266" max="266" width="25.28515625" style="264" customWidth="1"/>
    <col min="267" max="267" width="16.28515625" style="264" customWidth="1"/>
    <col min="268" max="512" width="9.28515625" style="264"/>
    <col min="513" max="513" width="15" style="264" customWidth="1"/>
    <col min="514" max="514" width="12.7109375" style="264" customWidth="1"/>
    <col min="515" max="515" width="11.7109375" style="264" customWidth="1"/>
    <col min="516" max="516" width="44.85546875" style="264" customWidth="1"/>
    <col min="517" max="517" width="54.7109375" style="264" customWidth="1"/>
    <col min="518" max="518" width="15.28515625" style="264" customWidth="1"/>
    <col min="519" max="520" width="19.28515625" style="264" customWidth="1"/>
    <col min="521" max="521" width="13.85546875" style="264" customWidth="1"/>
    <col min="522" max="522" width="25.28515625" style="264" customWidth="1"/>
    <col min="523" max="523" width="16.28515625" style="264" customWidth="1"/>
    <col min="524" max="768" width="9.28515625" style="264"/>
    <col min="769" max="769" width="15" style="264" customWidth="1"/>
    <col min="770" max="770" width="12.7109375" style="264" customWidth="1"/>
    <col min="771" max="771" width="11.7109375" style="264" customWidth="1"/>
    <col min="772" max="772" width="44.85546875" style="264" customWidth="1"/>
    <col min="773" max="773" width="54.7109375" style="264" customWidth="1"/>
    <col min="774" max="774" width="15.28515625" style="264" customWidth="1"/>
    <col min="775" max="776" width="19.28515625" style="264" customWidth="1"/>
    <col min="777" max="777" width="13.85546875" style="264" customWidth="1"/>
    <col min="778" max="778" width="25.28515625" style="264" customWidth="1"/>
    <col min="779" max="779" width="16.28515625" style="264" customWidth="1"/>
    <col min="780" max="1024" width="9.28515625" style="264"/>
    <col min="1025" max="1025" width="15" style="264" customWidth="1"/>
    <col min="1026" max="1026" width="12.7109375" style="264" customWidth="1"/>
    <col min="1027" max="1027" width="11.7109375" style="264" customWidth="1"/>
    <col min="1028" max="1028" width="44.85546875" style="264" customWidth="1"/>
    <col min="1029" max="1029" width="54.7109375" style="264" customWidth="1"/>
    <col min="1030" max="1030" width="15.28515625" style="264" customWidth="1"/>
    <col min="1031" max="1032" width="19.28515625" style="264" customWidth="1"/>
    <col min="1033" max="1033" width="13.85546875" style="264" customWidth="1"/>
    <col min="1034" max="1034" width="25.28515625" style="264" customWidth="1"/>
    <col min="1035" max="1035" width="16.28515625" style="264" customWidth="1"/>
    <col min="1036" max="1280" width="9.28515625" style="264"/>
    <col min="1281" max="1281" width="15" style="264" customWidth="1"/>
    <col min="1282" max="1282" width="12.7109375" style="264" customWidth="1"/>
    <col min="1283" max="1283" width="11.7109375" style="264" customWidth="1"/>
    <col min="1284" max="1284" width="44.85546875" style="264" customWidth="1"/>
    <col min="1285" max="1285" width="54.7109375" style="264" customWidth="1"/>
    <col min="1286" max="1286" width="15.28515625" style="264" customWidth="1"/>
    <col min="1287" max="1288" width="19.28515625" style="264" customWidth="1"/>
    <col min="1289" max="1289" width="13.85546875" style="264" customWidth="1"/>
    <col min="1290" max="1290" width="25.28515625" style="264" customWidth="1"/>
    <col min="1291" max="1291" width="16.28515625" style="264" customWidth="1"/>
    <col min="1292" max="1536" width="9.28515625" style="264"/>
    <col min="1537" max="1537" width="15" style="264" customWidth="1"/>
    <col min="1538" max="1538" width="12.7109375" style="264" customWidth="1"/>
    <col min="1539" max="1539" width="11.7109375" style="264" customWidth="1"/>
    <col min="1540" max="1540" width="44.85546875" style="264" customWidth="1"/>
    <col min="1541" max="1541" width="54.7109375" style="264" customWidth="1"/>
    <col min="1542" max="1542" width="15.28515625" style="264" customWidth="1"/>
    <col min="1543" max="1544" width="19.28515625" style="264" customWidth="1"/>
    <col min="1545" max="1545" width="13.85546875" style="264" customWidth="1"/>
    <col min="1546" max="1546" width="25.28515625" style="264" customWidth="1"/>
    <col min="1547" max="1547" width="16.28515625" style="264" customWidth="1"/>
    <col min="1548" max="1792" width="9.28515625" style="264"/>
    <col min="1793" max="1793" width="15" style="264" customWidth="1"/>
    <col min="1794" max="1794" width="12.7109375" style="264" customWidth="1"/>
    <col min="1795" max="1795" width="11.7109375" style="264" customWidth="1"/>
    <col min="1796" max="1796" width="44.85546875" style="264" customWidth="1"/>
    <col min="1797" max="1797" width="54.7109375" style="264" customWidth="1"/>
    <col min="1798" max="1798" width="15.28515625" style="264" customWidth="1"/>
    <col min="1799" max="1800" width="19.28515625" style="264" customWidth="1"/>
    <col min="1801" max="1801" width="13.85546875" style="264" customWidth="1"/>
    <col min="1802" max="1802" width="25.28515625" style="264" customWidth="1"/>
    <col min="1803" max="1803" width="16.28515625" style="264" customWidth="1"/>
    <col min="1804" max="2048" width="9.28515625" style="264"/>
    <col min="2049" max="2049" width="15" style="264" customWidth="1"/>
    <col min="2050" max="2050" width="12.7109375" style="264" customWidth="1"/>
    <col min="2051" max="2051" width="11.7109375" style="264" customWidth="1"/>
    <col min="2052" max="2052" width="44.85546875" style="264" customWidth="1"/>
    <col min="2053" max="2053" width="54.7109375" style="264" customWidth="1"/>
    <col min="2054" max="2054" width="15.28515625" style="264" customWidth="1"/>
    <col min="2055" max="2056" width="19.28515625" style="264" customWidth="1"/>
    <col min="2057" max="2057" width="13.85546875" style="264" customWidth="1"/>
    <col min="2058" max="2058" width="25.28515625" style="264" customWidth="1"/>
    <col min="2059" max="2059" width="16.28515625" style="264" customWidth="1"/>
    <col min="2060" max="2304" width="9.28515625" style="264"/>
    <col min="2305" max="2305" width="15" style="264" customWidth="1"/>
    <col min="2306" max="2306" width="12.7109375" style="264" customWidth="1"/>
    <col min="2307" max="2307" width="11.7109375" style="264" customWidth="1"/>
    <col min="2308" max="2308" width="44.85546875" style="264" customWidth="1"/>
    <col min="2309" max="2309" width="54.7109375" style="264" customWidth="1"/>
    <col min="2310" max="2310" width="15.28515625" style="264" customWidth="1"/>
    <col min="2311" max="2312" width="19.28515625" style="264" customWidth="1"/>
    <col min="2313" max="2313" width="13.85546875" style="264" customWidth="1"/>
    <col min="2314" max="2314" width="25.28515625" style="264" customWidth="1"/>
    <col min="2315" max="2315" width="16.28515625" style="264" customWidth="1"/>
    <col min="2316" max="2560" width="9.28515625" style="264"/>
    <col min="2561" max="2561" width="15" style="264" customWidth="1"/>
    <col min="2562" max="2562" width="12.7109375" style="264" customWidth="1"/>
    <col min="2563" max="2563" width="11.7109375" style="264" customWidth="1"/>
    <col min="2564" max="2564" width="44.85546875" style="264" customWidth="1"/>
    <col min="2565" max="2565" width="54.7109375" style="264" customWidth="1"/>
    <col min="2566" max="2566" width="15.28515625" style="264" customWidth="1"/>
    <col min="2567" max="2568" width="19.28515625" style="264" customWidth="1"/>
    <col min="2569" max="2569" width="13.85546875" style="264" customWidth="1"/>
    <col min="2570" max="2570" width="25.28515625" style="264" customWidth="1"/>
    <col min="2571" max="2571" width="16.28515625" style="264" customWidth="1"/>
    <col min="2572" max="2816" width="9.28515625" style="264"/>
    <col min="2817" max="2817" width="15" style="264" customWidth="1"/>
    <col min="2818" max="2818" width="12.7109375" style="264" customWidth="1"/>
    <col min="2819" max="2819" width="11.7109375" style="264" customWidth="1"/>
    <col min="2820" max="2820" width="44.85546875" style="264" customWidth="1"/>
    <col min="2821" max="2821" width="54.7109375" style="264" customWidth="1"/>
    <col min="2822" max="2822" width="15.28515625" style="264" customWidth="1"/>
    <col min="2823" max="2824" width="19.28515625" style="264" customWidth="1"/>
    <col min="2825" max="2825" width="13.85546875" style="264" customWidth="1"/>
    <col min="2826" max="2826" width="25.28515625" style="264" customWidth="1"/>
    <col min="2827" max="2827" width="16.28515625" style="264" customWidth="1"/>
    <col min="2828" max="3072" width="9.28515625" style="264"/>
    <col min="3073" max="3073" width="15" style="264" customWidth="1"/>
    <col min="3074" max="3074" width="12.7109375" style="264" customWidth="1"/>
    <col min="3075" max="3075" width="11.7109375" style="264" customWidth="1"/>
    <col min="3076" max="3076" width="44.85546875" style="264" customWidth="1"/>
    <col min="3077" max="3077" width="54.7109375" style="264" customWidth="1"/>
    <col min="3078" max="3078" width="15.28515625" style="264" customWidth="1"/>
    <col min="3079" max="3080" width="19.28515625" style="264" customWidth="1"/>
    <col min="3081" max="3081" width="13.85546875" style="264" customWidth="1"/>
    <col min="3082" max="3082" width="25.28515625" style="264" customWidth="1"/>
    <col min="3083" max="3083" width="16.28515625" style="264" customWidth="1"/>
    <col min="3084" max="3328" width="9.28515625" style="264"/>
    <col min="3329" max="3329" width="15" style="264" customWidth="1"/>
    <col min="3330" max="3330" width="12.7109375" style="264" customWidth="1"/>
    <col min="3331" max="3331" width="11.7109375" style="264" customWidth="1"/>
    <col min="3332" max="3332" width="44.85546875" style="264" customWidth="1"/>
    <col min="3333" max="3333" width="54.7109375" style="264" customWidth="1"/>
    <col min="3334" max="3334" width="15.28515625" style="264" customWidth="1"/>
    <col min="3335" max="3336" width="19.28515625" style="264" customWidth="1"/>
    <col min="3337" max="3337" width="13.85546875" style="264" customWidth="1"/>
    <col min="3338" max="3338" width="25.28515625" style="264" customWidth="1"/>
    <col min="3339" max="3339" width="16.28515625" style="264" customWidth="1"/>
    <col min="3340" max="3584" width="9.28515625" style="264"/>
    <col min="3585" max="3585" width="15" style="264" customWidth="1"/>
    <col min="3586" max="3586" width="12.7109375" style="264" customWidth="1"/>
    <col min="3587" max="3587" width="11.7109375" style="264" customWidth="1"/>
    <col min="3588" max="3588" width="44.85546875" style="264" customWidth="1"/>
    <col min="3589" max="3589" width="54.7109375" style="264" customWidth="1"/>
    <col min="3590" max="3590" width="15.28515625" style="264" customWidth="1"/>
    <col min="3591" max="3592" width="19.28515625" style="264" customWidth="1"/>
    <col min="3593" max="3593" width="13.85546875" style="264" customWidth="1"/>
    <col min="3594" max="3594" width="25.28515625" style="264" customWidth="1"/>
    <col min="3595" max="3595" width="16.28515625" style="264" customWidth="1"/>
    <col min="3596" max="3840" width="9.28515625" style="264"/>
    <col min="3841" max="3841" width="15" style="264" customWidth="1"/>
    <col min="3842" max="3842" width="12.7109375" style="264" customWidth="1"/>
    <col min="3843" max="3843" width="11.7109375" style="264" customWidth="1"/>
    <col min="3844" max="3844" width="44.85546875" style="264" customWidth="1"/>
    <col min="3845" max="3845" width="54.7109375" style="264" customWidth="1"/>
    <col min="3846" max="3846" width="15.28515625" style="264" customWidth="1"/>
    <col min="3847" max="3848" width="19.28515625" style="264" customWidth="1"/>
    <col min="3849" max="3849" width="13.85546875" style="264" customWidth="1"/>
    <col min="3850" max="3850" width="25.28515625" style="264" customWidth="1"/>
    <col min="3851" max="3851" width="16.28515625" style="264" customWidth="1"/>
    <col min="3852" max="4096" width="9.28515625" style="264"/>
    <col min="4097" max="4097" width="15" style="264" customWidth="1"/>
    <col min="4098" max="4098" width="12.7109375" style="264" customWidth="1"/>
    <col min="4099" max="4099" width="11.7109375" style="264" customWidth="1"/>
    <col min="4100" max="4100" width="44.85546875" style="264" customWidth="1"/>
    <col min="4101" max="4101" width="54.7109375" style="264" customWidth="1"/>
    <col min="4102" max="4102" width="15.28515625" style="264" customWidth="1"/>
    <col min="4103" max="4104" width="19.28515625" style="264" customWidth="1"/>
    <col min="4105" max="4105" width="13.85546875" style="264" customWidth="1"/>
    <col min="4106" max="4106" width="25.28515625" style="264" customWidth="1"/>
    <col min="4107" max="4107" width="16.28515625" style="264" customWidth="1"/>
    <col min="4108" max="4352" width="9.28515625" style="264"/>
    <col min="4353" max="4353" width="15" style="264" customWidth="1"/>
    <col min="4354" max="4354" width="12.7109375" style="264" customWidth="1"/>
    <col min="4355" max="4355" width="11.7109375" style="264" customWidth="1"/>
    <col min="4356" max="4356" width="44.85546875" style="264" customWidth="1"/>
    <col min="4357" max="4357" width="54.7109375" style="264" customWidth="1"/>
    <col min="4358" max="4358" width="15.28515625" style="264" customWidth="1"/>
    <col min="4359" max="4360" width="19.28515625" style="264" customWidth="1"/>
    <col min="4361" max="4361" width="13.85546875" style="264" customWidth="1"/>
    <col min="4362" max="4362" width="25.28515625" style="264" customWidth="1"/>
    <col min="4363" max="4363" width="16.28515625" style="264" customWidth="1"/>
    <col min="4364" max="4608" width="9.28515625" style="264"/>
    <col min="4609" max="4609" width="15" style="264" customWidth="1"/>
    <col min="4610" max="4610" width="12.7109375" style="264" customWidth="1"/>
    <col min="4611" max="4611" width="11.7109375" style="264" customWidth="1"/>
    <col min="4612" max="4612" width="44.85546875" style="264" customWidth="1"/>
    <col min="4613" max="4613" width="54.7109375" style="264" customWidth="1"/>
    <col min="4614" max="4614" width="15.28515625" style="264" customWidth="1"/>
    <col min="4615" max="4616" width="19.28515625" style="264" customWidth="1"/>
    <col min="4617" max="4617" width="13.85546875" style="264" customWidth="1"/>
    <col min="4618" max="4618" width="25.28515625" style="264" customWidth="1"/>
    <col min="4619" max="4619" width="16.28515625" style="264" customWidth="1"/>
    <col min="4620" max="4864" width="9.28515625" style="264"/>
    <col min="4865" max="4865" width="15" style="264" customWidth="1"/>
    <col min="4866" max="4866" width="12.7109375" style="264" customWidth="1"/>
    <col min="4867" max="4867" width="11.7109375" style="264" customWidth="1"/>
    <col min="4868" max="4868" width="44.85546875" style="264" customWidth="1"/>
    <col min="4869" max="4869" width="54.7109375" style="264" customWidth="1"/>
    <col min="4870" max="4870" width="15.28515625" style="264" customWidth="1"/>
    <col min="4871" max="4872" width="19.28515625" style="264" customWidth="1"/>
    <col min="4873" max="4873" width="13.85546875" style="264" customWidth="1"/>
    <col min="4874" max="4874" width="25.28515625" style="264" customWidth="1"/>
    <col min="4875" max="4875" width="16.28515625" style="264" customWidth="1"/>
    <col min="4876" max="5120" width="9.28515625" style="264"/>
    <col min="5121" max="5121" width="15" style="264" customWidth="1"/>
    <col min="5122" max="5122" width="12.7109375" style="264" customWidth="1"/>
    <col min="5123" max="5123" width="11.7109375" style="264" customWidth="1"/>
    <col min="5124" max="5124" width="44.85546875" style="264" customWidth="1"/>
    <col min="5125" max="5125" width="54.7109375" style="264" customWidth="1"/>
    <col min="5126" max="5126" width="15.28515625" style="264" customWidth="1"/>
    <col min="5127" max="5128" width="19.28515625" style="264" customWidth="1"/>
    <col min="5129" max="5129" width="13.85546875" style="264" customWidth="1"/>
    <col min="5130" max="5130" width="25.28515625" style="264" customWidth="1"/>
    <col min="5131" max="5131" width="16.28515625" style="264" customWidth="1"/>
    <col min="5132" max="5376" width="9.28515625" style="264"/>
    <col min="5377" max="5377" width="15" style="264" customWidth="1"/>
    <col min="5378" max="5378" width="12.7109375" style="264" customWidth="1"/>
    <col min="5379" max="5379" width="11.7109375" style="264" customWidth="1"/>
    <col min="5380" max="5380" width="44.85546875" style="264" customWidth="1"/>
    <col min="5381" max="5381" width="54.7109375" style="264" customWidth="1"/>
    <col min="5382" max="5382" width="15.28515625" style="264" customWidth="1"/>
    <col min="5383" max="5384" width="19.28515625" style="264" customWidth="1"/>
    <col min="5385" max="5385" width="13.85546875" style="264" customWidth="1"/>
    <col min="5386" max="5386" width="25.28515625" style="264" customWidth="1"/>
    <col min="5387" max="5387" width="16.28515625" style="264" customWidth="1"/>
    <col min="5388" max="5632" width="9.28515625" style="264"/>
    <col min="5633" max="5633" width="15" style="264" customWidth="1"/>
    <col min="5634" max="5634" width="12.7109375" style="264" customWidth="1"/>
    <col min="5635" max="5635" width="11.7109375" style="264" customWidth="1"/>
    <col min="5636" max="5636" width="44.85546875" style="264" customWidth="1"/>
    <col min="5637" max="5637" width="54.7109375" style="264" customWidth="1"/>
    <col min="5638" max="5638" width="15.28515625" style="264" customWidth="1"/>
    <col min="5639" max="5640" width="19.28515625" style="264" customWidth="1"/>
    <col min="5641" max="5641" width="13.85546875" style="264" customWidth="1"/>
    <col min="5642" max="5642" width="25.28515625" style="264" customWidth="1"/>
    <col min="5643" max="5643" width="16.28515625" style="264" customWidth="1"/>
    <col min="5644" max="5888" width="9.28515625" style="264"/>
    <col min="5889" max="5889" width="15" style="264" customWidth="1"/>
    <col min="5890" max="5890" width="12.7109375" style="264" customWidth="1"/>
    <col min="5891" max="5891" width="11.7109375" style="264" customWidth="1"/>
    <col min="5892" max="5892" width="44.85546875" style="264" customWidth="1"/>
    <col min="5893" max="5893" width="54.7109375" style="264" customWidth="1"/>
    <col min="5894" max="5894" width="15.28515625" style="264" customWidth="1"/>
    <col min="5895" max="5896" width="19.28515625" style="264" customWidth="1"/>
    <col min="5897" max="5897" width="13.85546875" style="264" customWidth="1"/>
    <col min="5898" max="5898" width="25.28515625" style="264" customWidth="1"/>
    <col min="5899" max="5899" width="16.28515625" style="264" customWidth="1"/>
    <col min="5900" max="6144" width="9.28515625" style="264"/>
    <col min="6145" max="6145" width="15" style="264" customWidth="1"/>
    <col min="6146" max="6146" width="12.7109375" style="264" customWidth="1"/>
    <col min="6147" max="6147" width="11.7109375" style="264" customWidth="1"/>
    <col min="6148" max="6148" width="44.85546875" style="264" customWidth="1"/>
    <col min="6149" max="6149" width="54.7109375" style="264" customWidth="1"/>
    <col min="6150" max="6150" width="15.28515625" style="264" customWidth="1"/>
    <col min="6151" max="6152" width="19.28515625" style="264" customWidth="1"/>
    <col min="6153" max="6153" width="13.85546875" style="264" customWidth="1"/>
    <col min="6154" max="6154" width="25.28515625" style="264" customWidth="1"/>
    <col min="6155" max="6155" width="16.28515625" style="264" customWidth="1"/>
    <col min="6156" max="6400" width="9.28515625" style="264"/>
    <col min="6401" max="6401" width="15" style="264" customWidth="1"/>
    <col min="6402" max="6402" width="12.7109375" style="264" customWidth="1"/>
    <col min="6403" max="6403" width="11.7109375" style="264" customWidth="1"/>
    <col min="6404" max="6404" width="44.85546875" style="264" customWidth="1"/>
    <col min="6405" max="6405" width="54.7109375" style="264" customWidth="1"/>
    <col min="6406" max="6406" width="15.28515625" style="264" customWidth="1"/>
    <col min="6407" max="6408" width="19.28515625" style="264" customWidth="1"/>
    <col min="6409" max="6409" width="13.85546875" style="264" customWidth="1"/>
    <col min="6410" max="6410" width="25.28515625" style="264" customWidth="1"/>
    <col min="6411" max="6411" width="16.28515625" style="264" customWidth="1"/>
    <col min="6412" max="6656" width="9.28515625" style="264"/>
    <col min="6657" max="6657" width="15" style="264" customWidth="1"/>
    <col min="6658" max="6658" width="12.7109375" style="264" customWidth="1"/>
    <col min="6659" max="6659" width="11.7109375" style="264" customWidth="1"/>
    <col min="6660" max="6660" width="44.85546875" style="264" customWidth="1"/>
    <col min="6661" max="6661" width="54.7109375" style="264" customWidth="1"/>
    <col min="6662" max="6662" width="15.28515625" style="264" customWidth="1"/>
    <col min="6663" max="6664" width="19.28515625" style="264" customWidth="1"/>
    <col min="6665" max="6665" width="13.85546875" style="264" customWidth="1"/>
    <col min="6666" max="6666" width="25.28515625" style="264" customWidth="1"/>
    <col min="6667" max="6667" width="16.28515625" style="264" customWidth="1"/>
    <col min="6668" max="6912" width="9.28515625" style="264"/>
    <col min="6913" max="6913" width="15" style="264" customWidth="1"/>
    <col min="6914" max="6914" width="12.7109375" style="264" customWidth="1"/>
    <col min="6915" max="6915" width="11.7109375" style="264" customWidth="1"/>
    <col min="6916" max="6916" width="44.85546875" style="264" customWidth="1"/>
    <col min="6917" max="6917" width="54.7109375" style="264" customWidth="1"/>
    <col min="6918" max="6918" width="15.28515625" style="264" customWidth="1"/>
    <col min="6919" max="6920" width="19.28515625" style="264" customWidth="1"/>
    <col min="6921" max="6921" width="13.85546875" style="264" customWidth="1"/>
    <col min="6922" max="6922" width="25.28515625" style="264" customWidth="1"/>
    <col min="6923" max="6923" width="16.28515625" style="264" customWidth="1"/>
    <col min="6924" max="7168" width="9.28515625" style="264"/>
    <col min="7169" max="7169" width="15" style="264" customWidth="1"/>
    <col min="7170" max="7170" width="12.7109375" style="264" customWidth="1"/>
    <col min="7171" max="7171" width="11.7109375" style="264" customWidth="1"/>
    <col min="7172" max="7172" width="44.85546875" style="264" customWidth="1"/>
    <col min="7173" max="7173" width="54.7109375" style="264" customWidth="1"/>
    <col min="7174" max="7174" width="15.28515625" style="264" customWidth="1"/>
    <col min="7175" max="7176" width="19.28515625" style="264" customWidth="1"/>
    <col min="7177" max="7177" width="13.85546875" style="264" customWidth="1"/>
    <col min="7178" max="7178" width="25.28515625" style="264" customWidth="1"/>
    <col min="7179" max="7179" width="16.28515625" style="264" customWidth="1"/>
    <col min="7180" max="7424" width="9.28515625" style="264"/>
    <col min="7425" max="7425" width="15" style="264" customWidth="1"/>
    <col min="7426" max="7426" width="12.7109375" style="264" customWidth="1"/>
    <col min="7427" max="7427" width="11.7109375" style="264" customWidth="1"/>
    <col min="7428" max="7428" width="44.85546875" style="264" customWidth="1"/>
    <col min="7429" max="7429" width="54.7109375" style="264" customWidth="1"/>
    <col min="7430" max="7430" width="15.28515625" style="264" customWidth="1"/>
    <col min="7431" max="7432" width="19.28515625" style="264" customWidth="1"/>
    <col min="7433" max="7433" width="13.85546875" style="264" customWidth="1"/>
    <col min="7434" max="7434" width="25.28515625" style="264" customWidth="1"/>
    <col min="7435" max="7435" width="16.28515625" style="264" customWidth="1"/>
    <col min="7436" max="7680" width="9.28515625" style="264"/>
    <col min="7681" max="7681" width="15" style="264" customWidth="1"/>
    <col min="7682" max="7682" width="12.7109375" style="264" customWidth="1"/>
    <col min="7683" max="7683" width="11.7109375" style="264" customWidth="1"/>
    <col min="7684" max="7684" width="44.85546875" style="264" customWidth="1"/>
    <col min="7685" max="7685" width="54.7109375" style="264" customWidth="1"/>
    <col min="7686" max="7686" width="15.28515625" style="264" customWidth="1"/>
    <col min="7687" max="7688" width="19.28515625" style="264" customWidth="1"/>
    <col min="7689" max="7689" width="13.85546875" style="264" customWidth="1"/>
    <col min="7690" max="7690" width="25.28515625" style="264" customWidth="1"/>
    <col min="7691" max="7691" width="16.28515625" style="264" customWidth="1"/>
    <col min="7692" max="7936" width="9.28515625" style="264"/>
    <col min="7937" max="7937" width="15" style="264" customWidth="1"/>
    <col min="7938" max="7938" width="12.7109375" style="264" customWidth="1"/>
    <col min="7939" max="7939" width="11.7109375" style="264" customWidth="1"/>
    <col min="7940" max="7940" width="44.85546875" style="264" customWidth="1"/>
    <col min="7941" max="7941" width="54.7109375" style="264" customWidth="1"/>
    <col min="7942" max="7942" width="15.28515625" style="264" customWidth="1"/>
    <col min="7943" max="7944" width="19.28515625" style="264" customWidth="1"/>
    <col min="7945" max="7945" width="13.85546875" style="264" customWidth="1"/>
    <col min="7946" max="7946" width="25.28515625" style="264" customWidth="1"/>
    <col min="7947" max="7947" width="16.28515625" style="264" customWidth="1"/>
    <col min="7948" max="8192" width="9.28515625" style="264"/>
    <col min="8193" max="8193" width="15" style="264" customWidth="1"/>
    <col min="8194" max="8194" width="12.7109375" style="264" customWidth="1"/>
    <col min="8195" max="8195" width="11.7109375" style="264" customWidth="1"/>
    <col min="8196" max="8196" width="44.85546875" style="264" customWidth="1"/>
    <col min="8197" max="8197" width="54.7109375" style="264" customWidth="1"/>
    <col min="8198" max="8198" width="15.28515625" style="264" customWidth="1"/>
    <col min="8199" max="8200" width="19.28515625" style="264" customWidth="1"/>
    <col min="8201" max="8201" width="13.85546875" style="264" customWidth="1"/>
    <col min="8202" max="8202" width="25.28515625" style="264" customWidth="1"/>
    <col min="8203" max="8203" width="16.28515625" style="264" customWidth="1"/>
    <col min="8204" max="8448" width="9.28515625" style="264"/>
    <col min="8449" max="8449" width="15" style="264" customWidth="1"/>
    <col min="8450" max="8450" width="12.7109375" style="264" customWidth="1"/>
    <col min="8451" max="8451" width="11.7109375" style="264" customWidth="1"/>
    <col min="8452" max="8452" width="44.85546875" style="264" customWidth="1"/>
    <col min="8453" max="8453" width="54.7109375" style="264" customWidth="1"/>
    <col min="8454" max="8454" width="15.28515625" style="264" customWidth="1"/>
    <col min="8455" max="8456" width="19.28515625" style="264" customWidth="1"/>
    <col min="8457" max="8457" width="13.85546875" style="264" customWidth="1"/>
    <col min="8458" max="8458" width="25.28515625" style="264" customWidth="1"/>
    <col min="8459" max="8459" width="16.28515625" style="264" customWidth="1"/>
    <col min="8460" max="8704" width="9.28515625" style="264"/>
    <col min="8705" max="8705" width="15" style="264" customWidth="1"/>
    <col min="8706" max="8706" width="12.7109375" style="264" customWidth="1"/>
    <col min="8707" max="8707" width="11.7109375" style="264" customWidth="1"/>
    <col min="8708" max="8708" width="44.85546875" style="264" customWidth="1"/>
    <col min="8709" max="8709" width="54.7109375" style="264" customWidth="1"/>
    <col min="8710" max="8710" width="15.28515625" style="264" customWidth="1"/>
    <col min="8711" max="8712" width="19.28515625" style="264" customWidth="1"/>
    <col min="8713" max="8713" width="13.85546875" style="264" customWidth="1"/>
    <col min="8714" max="8714" width="25.28515625" style="264" customWidth="1"/>
    <col min="8715" max="8715" width="16.28515625" style="264" customWidth="1"/>
    <col min="8716" max="8960" width="9.28515625" style="264"/>
    <col min="8961" max="8961" width="15" style="264" customWidth="1"/>
    <col min="8962" max="8962" width="12.7109375" style="264" customWidth="1"/>
    <col min="8963" max="8963" width="11.7109375" style="264" customWidth="1"/>
    <col min="8964" max="8964" width="44.85546875" style="264" customWidth="1"/>
    <col min="8965" max="8965" width="54.7109375" style="264" customWidth="1"/>
    <col min="8966" max="8966" width="15.28515625" style="264" customWidth="1"/>
    <col min="8967" max="8968" width="19.28515625" style="264" customWidth="1"/>
    <col min="8969" max="8969" width="13.85546875" style="264" customWidth="1"/>
    <col min="8970" max="8970" width="25.28515625" style="264" customWidth="1"/>
    <col min="8971" max="8971" width="16.28515625" style="264" customWidth="1"/>
    <col min="8972" max="9216" width="9.28515625" style="264"/>
    <col min="9217" max="9217" width="15" style="264" customWidth="1"/>
    <col min="9218" max="9218" width="12.7109375" style="264" customWidth="1"/>
    <col min="9219" max="9219" width="11.7109375" style="264" customWidth="1"/>
    <col min="9220" max="9220" width="44.85546875" style="264" customWidth="1"/>
    <col min="9221" max="9221" width="54.7109375" style="264" customWidth="1"/>
    <col min="9222" max="9222" width="15.28515625" style="264" customWidth="1"/>
    <col min="9223" max="9224" width="19.28515625" style="264" customWidth="1"/>
    <col min="9225" max="9225" width="13.85546875" style="264" customWidth="1"/>
    <col min="9226" max="9226" width="25.28515625" style="264" customWidth="1"/>
    <col min="9227" max="9227" width="16.28515625" style="264" customWidth="1"/>
    <col min="9228" max="9472" width="9.28515625" style="264"/>
    <col min="9473" max="9473" width="15" style="264" customWidth="1"/>
    <col min="9474" max="9474" width="12.7109375" style="264" customWidth="1"/>
    <col min="9475" max="9475" width="11.7109375" style="264" customWidth="1"/>
    <col min="9476" max="9476" width="44.85546875" style="264" customWidth="1"/>
    <col min="9477" max="9477" width="54.7109375" style="264" customWidth="1"/>
    <col min="9478" max="9478" width="15.28515625" style="264" customWidth="1"/>
    <col min="9479" max="9480" width="19.28515625" style="264" customWidth="1"/>
    <col min="9481" max="9481" width="13.85546875" style="264" customWidth="1"/>
    <col min="9482" max="9482" width="25.28515625" style="264" customWidth="1"/>
    <col min="9483" max="9483" width="16.28515625" style="264" customWidth="1"/>
    <col min="9484" max="9728" width="9.28515625" style="264"/>
    <col min="9729" max="9729" width="15" style="264" customWidth="1"/>
    <col min="9730" max="9730" width="12.7109375" style="264" customWidth="1"/>
    <col min="9731" max="9731" width="11.7109375" style="264" customWidth="1"/>
    <col min="9732" max="9732" width="44.85546875" style="264" customWidth="1"/>
    <col min="9733" max="9733" width="54.7109375" style="264" customWidth="1"/>
    <col min="9734" max="9734" width="15.28515625" style="264" customWidth="1"/>
    <col min="9735" max="9736" width="19.28515625" style="264" customWidth="1"/>
    <col min="9737" max="9737" width="13.85546875" style="264" customWidth="1"/>
    <col min="9738" max="9738" width="25.28515625" style="264" customWidth="1"/>
    <col min="9739" max="9739" width="16.28515625" style="264" customWidth="1"/>
    <col min="9740" max="9984" width="9.28515625" style="264"/>
    <col min="9985" max="9985" width="15" style="264" customWidth="1"/>
    <col min="9986" max="9986" width="12.7109375" style="264" customWidth="1"/>
    <col min="9987" max="9987" width="11.7109375" style="264" customWidth="1"/>
    <col min="9988" max="9988" width="44.85546875" style="264" customWidth="1"/>
    <col min="9989" max="9989" width="54.7109375" style="264" customWidth="1"/>
    <col min="9990" max="9990" width="15.28515625" style="264" customWidth="1"/>
    <col min="9991" max="9992" width="19.28515625" style="264" customWidth="1"/>
    <col min="9993" max="9993" width="13.85546875" style="264" customWidth="1"/>
    <col min="9994" max="9994" width="25.28515625" style="264" customWidth="1"/>
    <col min="9995" max="9995" width="16.28515625" style="264" customWidth="1"/>
    <col min="9996" max="10240" width="9.28515625" style="264"/>
    <col min="10241" max="10241" width="15" style="264" customWidth="1"/>
    <col min="10242" max="10242" width="12.7109375" style="264" customWidth="1"/>
    <col min="10243" max="10243" width="11.7109375" style="264" customWidth="1"/>
    <col min="10244" max="10244" width="44.85546875" style="264" customWidth="1"/>
    <col min="10245" max="10245" width="54.7109375" style="264" customWidth="1"/>
    <col min="10246" max="10246" width="15.28515625" style="264" customWidth="1"/>
    <col min="10247" max="10248" width="19.28515625" style="264" customWidth="1"/>
    <col min="10249" max="10249" width="13.85546875" style="264" customWidth="1"/>
    <col min="10250" max="10250" width="25.28515625" style="264" customWidth="1"/>
    <col min="10251" max="10251" width="16.28515625" style="264" customWidth="1"/>
    <col min="10252" max="10496" width="9.28515625" style="264"/>
    <col min="10497" max="10497" width="15" style="264" customWidth="1"/>
    <col min="10498" max="10498" width="12.7109375" style="264" customWidth="1"/>
    <col min="10499" max="10499" width="11.7109375" style="264" customWidth="1"/>
    <col min="10500" max="10500" width="44.85546875" style="264" customWidth="1"/>
    <col min="10501" max="10501" width="54.7109375" style="264" customWidth="1"/>
    <col min="10502" max="10502" width="15.28515625" style="264" customWidth="1"/>
    <col min="10503" max="10504" width="19.28515625" style="264" customWidth="1"/>
    <col min="10505" max="10505" width="13.85546875" style="264" customWidth="1"/>
    <col min="10506" max="10506" width="25.28515625" style="264" customWidth="1"/>
    <col min="10507" max="10507" width="16.28515625" style="264" customWidth="1"/>
    <col min="10508" max="10752" width="9.28515625" style="264"/>
    <col min="10753" max="10753" width="15" style="264" customWidth="1"/>
    <col min="10754" max="10754" width="12.7109375" style="264" customWidth="1"/>
    <col min="10755" max="10755" width="11.7109375" style="264" customWidth="1"/>
    <col min="10756" max="10756" width="44.85546875" style="264" customWidth="1"/>
    <col min="10757" max="10757" width="54.7109375" style="264" customWidth="1"/>
    <col min="10758" max="10758" width="15.28515625" style="264" customWidth="1"/>
    <col min="10759" max="10760" width="19.28515625" style="264" customWidth="1"/>
    <col min="10761" max="10761" width="13.85546875" style="264" customWidth="1"/>
    <col min="10762" max="10762" width="25.28515625" style="264" customWidth="1"/>
    <col min="10763" max="10763" width="16.28515625" style="264" customWidth="1"/>
    <col min="10764" max="11008" width="9.28515625" style="264"/>
    <col min="11009" max="11009" width="15" style="264" customWidth="1"/>
    <col min="11010" max="11010" width="12.7109375" style="264" customWidth="1"/>
    <col min="11011" max="11011" width="11.7109375" style="264" customWidth="1"/>
    <col min="11012" max="11012" width="44.85546875" style="264" customWidth="1"/>
    <col min="11013" max="11013" width="54.7109375" style="264" customWidth="1"/>
    <col min="11014" max="11014" width="15.28515625" style="264" customWidth="1"/>
    <col min="11015" max="11016" width="19.28515625" style="264" customWidth="1"/>
    <col min="11017" max="11017" width="13.85546875" style="264" customWidth="1"/>
    <col min="11018" max="11018" width="25.28515625" style="264" customWidth="1"/>
    <col min="11019" max="11019" width="16.28515625" style="264" customWidth="1"/>
    <col min="11020" max="11264" width="9.28515625" style="264"/>
    <col min="11265" max="11265" width="15" style="264" customWidth="1"/>
    <col min="11266" max="11266" width="12.7109375" style="264" customWidth="1"/>
    <col min="11267" max="11267" width="11.7109375" style="264" customWidth="1"/>
    <col min="11268" max="11268" width="44.85546875" style="264" customWidth="1"/>
    <col min="11269" max="11269" width="54.7109375" style="264" customWidth="1"/>
    <col min="11270" max="11270" width="15.28515625" style="264" customWidth="1"/>
    <col min="11271" max="11272" width="19.28515625" style="264" customWidth="1"/>
    <col min="11273" max="11273" width="13.85546875" style="264" customWidth="1"/>
    <col min="11274" max="11274" width="25.28515625" style="264" customWidth="1"/>
    <col min="11275" max="11275" width="16.28515625" style="264" customWidth="1"/>
    <col min="11276" max="11520" width="9.28515625" style="264"/>
    <col min="11521" max="11521" width="15" style="264" customWidth="1"/>
    <col min="11522" max="11522" width="12.7109375" style="264" customWidth="1"/>
    <col min="11523" max="11523" width="11.7109375" style="264" customWidth="1"/>
    <col min="11524" max="11524" width="44.85546875" style="264" customWidth="1"/>
    <col min="11525" max="11525" width="54.7109375" style="264" customWidth="1"/>
    <col min="11526" max="11526" width="15.28515625" style="264" customWidth="1"/>
    <col min="11527" max="11528" width="19.28515625" style="264" customWidth="1"/>
    <col min="11529" max="11529" width="13.85546875" style="264" customWidth="1"/>
    <col min="11530" max="11530" width="25.28515625" style="264" customWidth="1"/>
    <col min="11531" max="11531" width="16.28515625" style="264" customWidth="1"/>
    <col min="11532" max="11776" width="9.28515625" style="264"/>
    <col min="11777" max="11777" width="15" style="264" customWidth="1"/>
    <col min="11778" max="11778" width="12.7109375" style="264" customWidth="1"/>
    <col min="11779" max="11779" width="11.7109375" style="264" customWidth="1"/>
    <col min="11780" max="11780" width="44.85546875" style="264" customWidth="1"/>
    <col min="11781" max="11781" width="54.7109375" style="264" customWidth="1"/>
    <col min="11782" max="11782" width="15.28515625" style="264" customWidth="1"/>
    <col min="11783" max="11784" width="19.28515625" style="264" customWidth="1"/>
    <col min="11785" max="11785" width="13.85546875" style="264" customWidth="1"/>
    <col min="11786" max="11786" width="25.28515625" style="264" customWidth="1"/>
    <col min="11787" max="11787" width="16.28515625" style="264" customWidth="1"/>
    <col min="11788" max="12032" width="9.28515625" style="264"/>
    <col min="12033" max="12033" width="15" style="264" customWidth="1"/>
    <col min="12034" max="12034" width="12.7109375" style="264" customWidth="1"/>
    <col min="12035" max="12035" width="11.7109375" style="264" customWidth="1"/>
    <col min="12036" max="12036" width="44.85546875" style="264" customWidth="1"/>
    <col min="12037" max="12037" width="54.7109375" style="264" customWidth="1"/>
    <col min="12038" max="12038" width="15.28515625" style="264" customWidth="1"/>
    <col min="12039" max="12040" width="19.28515625" style="264" customWidth="1"/>
    <col min="12041" max="12041" width="13.85546875" style="264" customWidth="1"/>
    <col min="12042" max="12042" width="25.28515625" style="264" customWidth="1"/>
    <col min="12043" max="12043" width="16.28515625" style="264" customWidth="1"/>
    <col min="12044" max="12288" width="9.28515625" style="264"/>
    <col min="12289" max="12289" width="15" style="264" customWidth="1"/>
    <col min="12290" max="12290" width="12.7109375" style="264" customWidth="1"/>
    <col min="12291" max="12291" width="11.7109375" style="264" customWidth="1"/>
    <col min="12292" max="12292" width="44.85546875" style="264" customWidth="1"/>
    <col min="12293" max="12293" width="54.7109375" style="264" customWidth="1"/>
    <col min="12294" max="12294" width="15.28515625" style="264" customWidth="1"/>
    <col min="12295" max="12296" width="19.28515625" style="264" customWidth="1"/>
    <col min="12297" max="12297" width="13.85546875" style="264" customWidth="1"/>
    <col min="12298" max="12298" width="25.28515625" style="264" customWidth="1"/>
    <col min="12299" max="12299" width="16.28515625" style="264" customWidth="1"/>
    <col min="12300" max="12544" width="9.28515625" style="264"/>
    <col min="12545" max="12545" width="15" style="264" customWidth="1"/>
    <col min="12546" max="12546" width="12.7109375" style="264" customWidth="1"/>
    <col min="12547" max="12547" width="11.7109375" style="264" customWidth="1"/>
    <col min="12548" max="12548" width="44.85546875" style="264" customWidth="1"/>
    <col min="12549" max="12549" width="54.7109375" style="264" customWidth="1"/>
    <col min="12550" max="12550" width="15.28515625" style="264" customWidth="1"/>
    <col min="12551" max="12552" width="19.28515625" style="264" customWidth="1"/>
    <col min="12553" max="12553" width="13.85546875" style="264" customWidth="1"/>
    <col min="12554" max="12554" width="25.28515625" style="264" customWidth="1"/>
    <col min="12555" max="12555" width="16.28515625" style="264" customWidth="1"/>
    <col min="12556" max="12800" width="9.28515625" style="264"/>
    <col min="12801" max="12801" width="15" style="264" customWidth="1"/>
    <col min="12802" max="12802" width="12.7109375" style="264" customWidth="1"/>
    <col min="12803" max="12803" width="11.7109375" style="264" customWidth="1"/>
    <col min="12804" max="12804" width="44.85546875" style="264" customWidth="1"/>
    <col min="12805" max="12805" width="54.7109375" style="264" customWidth="1"/>
    <col min="12806" max="12806" width="15.28515625" style="264" customWidth="1"/>
    <col min="12807" max="12808" width="19.28515625" style="264" customWidth="1"/>
    <col min="12809" max="12809" width="13.85546875" style="264" customWidth="1"/>
    <col min="12810" max="12810" width="25.28515625" style="264" customWidth="1"/>
    <col min="12811" max="12811" width="16.28515625" style="264" customWidth="1"/>
    <col min="12812" max="13056" width="9.28515625" style="264"/>
    <col min="13057" max="13057" width="15" style="264" customWidth="1"/>
    <col min="13058" max="13058" width="12.7109375" style="264" customWidth="1"/>
    <col min="13059" max="13059" width="11.7109375" style="264" customWidth="1"/>
    <col min="13060" max="13060" width="44.85546875" style="264" customWidth="1"/>
    <col min="13061" max="13061" width="54.7109375" style="264" customWidth="1"/>
    <col min="13062" max="13062" width="15.28515625" style="264" customWidth="1"/>
    <col min="13063" max="13064" width="19.28515625" style="264" customWidth="1"/>
    <col min="13065" max="13065" width="13.85546875" style="264" customWidth="1"/>
    <col min="13066" max="13066" width="25.28515625" style="264" customWidth="1"/>
    <col min="13067" max="13067" width="16.28515625" style="264" customWidth="1"/>
    <col min="13068" max="13312" width="9.28515625" style="264"/>
    <col min="13313" max="13313" width="15" style="264" customWidth="1"/>
    <col min="13314" max="13314" width="12.7109375" style="264" customWidth="1"/>
    <col min="13315" max="13315" width="11.7109375" style="264" customWidth="1"/>
    <col min="13316" max="13316" width="44.85546875" style="264" customWidth="1"/>
    <col min="13317" max="13317" width="54.7109375" style="264" customWidth="1"/>
    <col min="13318" max="13318" width="15.28515625" style="264" customWidth="1"/>
    <col min="13319" max="13320" width="19.28515625" style="264" customWidth="1"/>
    <col min="13321" max="13321" width="13.85546875" style="264" customWidth="1"/>
    <col min="13322" max="13322" width="25.28515625" style="264" customWidth="1"/>
    <col min="13323" max="13323" width="16.28515625" style="264" customWidth="1"/>
    <col min="13324" max="13568" width="9.28515625" style="264"/>
    <col min="13569" max="13569" width="15" style="264" customWidth="1"/>
    <col min="13570" max="13570" width="12.7109375" style="264" customWidth="1"/>
    <col min="13571" max="13571" width="11.7109375" style="264" customWidth="1"/>
    <col min="13572" max="13572" width="44.85546875" style="264" customWidth="1"/>
    <col min="13573" max="13573" width="54.7109375" style="264" customWidth="1"/>
    <col min="13574" max="13574" width="15.28515625" style="264" customWidth="1"/>
    <col min="13575" max="13576" width="19.28515625" style="264" customWidth="1"/>
    <col min="13577" max="13577" width="13.85546875" style="264" customWidth="1"/>
    <col min="13578" max="13578" width="25.28515625" style="264" customWidth="1"/>
    <col min="13579" max="13579" width="16.28515625" style="264" customWidth="1"/>
    <col min="13580" max="13824" width="9.28515625" style="264"/>
    <col min="13825" max="13825" width="15" style="264" customWidth="1"/>
    <col min="13826" max="13826" width="12.7109375" style="264" customWidth="1"/>
    <col min="13827" max="13827" width="11.7109375" style="264" customWidth="1"/>
    <col min="13828" max="13828" width="44.85546875" style="264" customWidth="1"/>
    <col min="13829" max="13829" width="54.7109375" style="264" customWidth="1"/>
    <col min="13830" max="13830" width="15.28515625" style="264" customWidth="1"/>
    <col min="13831" max="13832" width="19.28515625" style="264" customWidth="1"/>
    <col min="13833" max="13833" width="13.85546875" style="264" customWidth="1"/>
    <col min="13834" max="13834" width="25.28515625" style="264" customWidth="1"/>
    <col min="13835" max="13835" width="16.28515625" style="264" customWidth="1"/>
    <col min="13836" max="14080" width="9.28515625" style="264"/>
    <col min="14081" max="14081" width="15" style="264" customWidth="1"/>
    <col min="14082" max="14082" width="12.7109375" style="264" customWidth="1"/>
    <col min="14083" max="14083" width="11.7109375" style="264" customWidth="1"/>
    <col min="14084" max="14084" width="44.85546875" style="264" customWidth="1"/>
    <col min="14085" max="14085" width="54.7109375" style="264" customWidth="1"/>
    <col min="14086" max="14086" width="15.28515625" style="264" customWidth="1"/>
    <col min="14087" max="14088" width="19.28515625" style="264" customWidth="1"/>
    <col min="14089" max="14089" width="13.85546875" style="264" customWidth="1"/>
    <col min="14090" max="14090" width="25.28515625" style="264" customWidth="1"/>
    <col min="14091" max="14091" width="16.28515625" style="264" customWidth="1"/>
    <col min="14092" max="14336" width="9.28515625" style="264"/>
    <col min="14337" max="14337" width="15" style="264" customWidth="1"/>
    <col min="14338" max="14338" width="12.7109375" style="264" customWidth="1"/>
    <col min="14339" max="14339" width="11.7109375" style="264" customWidth="1"/>
    <col min="14340" max="14340" width="44.85546875" style="264" customWidth="1"/>
    <col min="14341" max="14341" width="54.7109375" style="264" customWidth="1"/>
    <col min="14342" max="14342" width="15.28515625" style="264" customWidth="1"/>
    <col min="14343" max="14344" width="19.28515625" style="264" customWidth="1"/>
    <col min="14345" max="14345" width="13.85546875" style="264" customWidth="1"/>
    <col min="14346" max="14346" width="25.28515625" style="264" customWidth="1"/>
    <col min="14347" max="14347" width="16.28515625" style="264" customWidth="1"/>
    <col min="14348" max="14592" width="9.28515625" style="264"/>
    <col min="14593" max="14593" width="15" style="264" customWidth="1"/>
    <col min="14594" max="14594" width="12.7109375" style="264" customWidth="1"/>
    <col min="14595" max="14595" width="11.7109375" style="264" customWidth="1"/>
    <col min="14596" max="14596" width="44.85546875" style="264" customWidth="1"/>
    <col min="14597" max="14597" width="54.7109375" style="264" customWidth="1"/>
    <col min="14598" max="14598" width="15.28515625" style="264" customWidth="1"/>
    <col min="14599" max="14600" width="19.28515625" style="264" customWidth="1"/>
    <col min="14601" max="14601" width="13.85546875" style="264" customWidth="1"/>
    <col min="14602" max="14602" width="25.28515625" style="264" customWidth="1"/>
    <col min="14603" max="14603" width="16.28515625" style="264" customWidth="1"/>
    <col min="14604" max="14848" width="9.28515625" style="264"/>
    <col min="14849" max="14849" width="15" style="264" customWidth="1"/>
    <col min="14850" max="14850" width="12.7109375" style="264" customWidth="1"/>
    <col min="14851" max="14851" width="11.7109375" style="264" customWidth="1"/>
    <col min="14852" max="14852" width="44.85546875" style="264" customWidth="1"/>
    <col min="14853" max="14853" width="54.7109375" style="264" customWidth="1"/>
    <col min="14854" max="14854" width="15.28515625" style="264" customWidth="1"/>
    <col min="14855" max="14856" width="19.28515625" style="264" customWidth="1"/>
    <col min="14857" max="14857" width="13.85546875" style="264" customWidth="1"/>
    <col min="14858" max="14858" width="25.28515625" style="264" customWidth="1"/>
    <col min="14859" max="14859" width="16.28515625" style="264" customWidth="1"/>
    <col min="14860" max="15104" width="9.28515625" style="264"/>
    <col min="15105" max="15105" width="15" style="264" customWidth="1"/>
    <col min="15106" max="15106" width="12.7109375" style="264" customWidth="1"/>
    <col min="15107" max="15107" width="11.7109375" style="264" customWidth="1"/>
    <col min="15108" max="15108" width="44.85546875" style="264" customWidth="1"/>
    <col min="15109" max="15109" width="54.7109375" style="264" customWidth="1"/>
    <col min="15110" max="15110" width="15.28515625" style="264" customWidth="1"/>
    <col min="15111" max="15112" width="19.28515625" style="264" customWidth="1"/>
    <col min="15113" max="15113" width="13.85546875" style="264" customWidth="1"/>
    <col min="15114" max="15114" width="25.28515625" style="264" customWidth="1"/>
    <col min="15115" max="15115" width="16.28515625" style="264" customWidth="1"/>
    <col min="15116" max="15360" width="9.28515625" style="264"/>
    <col min="15361" max="15361" width="15" style="264" customWidth="1"/>
    <col min="15362" max="15362" width="12.7109375" style="264" customWidth="1"/>
    <col min="15363" max="15363" width="11.7109375" style="264" customWidth="1"/>
    <col min="15364" max="15364" width="44.85546875" style="264" customWidth="1"/>
    <col min="15365" max="15365" width="54.7109375" style="264" customWidth="1"/>
    <col min="15366" max="15366" width="15.28515625" style="264" customWidth="1"/>
    <col min="15367" max="15368" width="19.28515625" style="264" customWidth="1"/>
    <col min="15369" max="15369" width="13.85546875" style="264" customWidth="1"/>
    <col min="15370" max="15370" width="25.28515625" style="264" customWidth="1"/>
    <col min="15371" max="15371" width="16.28515625" style="264" customWidth="1"/>
    <col min="15372" max="15616" width="9.28515625" style="264"/>
    <col min="15617" max="15617" width="15" style="264" customWidth="1"/>
    <col min="15618" max="15618" width="12.7109375" style="264" customWidth="1"/>
    <col min="15619" max="15619" width="11.7109375" style="264" customWidth="1"/>
    <col min="15620" max="15620" width="44.85546875" style="264" customWidth="1"/>
    <col min="15621" max="15621" width="54.7109375" style="264" customWidth="1"/>
    <col min="15622" max="15622" width="15.28515625" style="264" customWidth="1"/>
    <col min="15623" max="15624" width="19.28515625" style="264" customWidth="1"/>
    <col min="15625" max="15625" width="13.85546875" style="264" customWidth="1"/>
    <col min="15626" max="15626" width="25.28515625" style="264" customWidth="1"/>
    <col min="15627" max="15627" width="16.28515625" style="264" customWidth="1"/>
    <col min="15628" max="15872" width="9.28515625" style="264"/>
    <col min="15873" max="15873" width="15" style="264" customWidth="1"/>
    <col min="15874" max="15874" width="12.7109375" style="264" customWidth="1"/>
    <col min="15875" max="15875" width="11.7109375" style="264" customWidth="1"/>
    <col min="15876" max="15876" width="44.85546875" style="264" customWidth="1"/>
    <col min="15877" max="15877" width="54.7109375" style="264" customWidth="1"/>
    <col min="15878" max="15878" width="15.28515625" style="264" customWidth="1"/>
    <col min="15879" max="15880" width="19.28515625" style="264" customWidth="1"/>
    <col min="15881" max="15881" width="13.85546875" style="264" customWidth="1"/>
    <col min="15882" max="15882" width="25.28515625" style="264" customWidth="1"/>
    <col min="15883" max="15883" width="16.28515625" style="264" customWidth="1"/>
    <col min="15884" max="16128" width="9.28515625" style="264"/>
    <col min="16129" max="16129" width="15" style="264" customWidth="1"/>
    <col min="16130" max="16130" width="12.7109375" style="264" customWidth="1"/>
    <col min="16131" max="16131" width="11.7109375" style="264" customWidth="1"/>
    <col min="16132" max="16132" width="44.85546875" style="264" customWidth="1"/>
    <col min="16133" max="16133" width="54.7109375" style="264" customWidth="1"/>
    <col min="16134" max="16134" width="15.28515625" style="264" customWidth="1"/>
    <col min="16135" max="16136" width="19.28515625" style="264" customWidth="1"/>
    <col min="16137" max="16137" width="13.85546875" style="264" customWidth="1"/>
    <col min="16138" max="16138" width="25.28515625" style="264" customWidth="1"/>
    <col min="16139" max="16139" width="16.28515625" style="264" customWidth="1"/>
    <col min="16140" max="16384" width="9.28515625" style="264"/>
  </cols>
  <sheetData>
    <row r="2" spans="1:11" ht="15.75" x14ac:dyDescent="0.25">
      <c r="I2" s="647" t="s">
        <v>514</v>
      </c>
      <c r="J2" s="4"/>
    </row>
    <row r="3" spans="1:11" ht="15.75" x14ac:dyDescent="0.25">
      <c r="I3" s="647" t="s">
        <v>281</v>
      </c>
      <c r="J3" s="4"/>
    </row>
    <row r="4" spans="1:11" ht="15.75" x14ac:dyDescent="0.25">
      <c r="I4" s="100" t="s">
        <v>661</v>
      </c>
      <c r="J4" s="7"/>
    </row>
    <row r="5" spans="1:11" ht="15.75" x14ac:dyDescent="0.25">
      <c r="I5" s="101" t="s">
        <v>662</v>
      </c>
      <c r="J5" s="102"/>
    </row>
    <row r="6" spans="1:11" ht="15.75" x14ac:dyDescent="0.25">
      <c r="I6" s="751" t="s">
        <v>515</v>
      </c>
      <c r="J6" s="751"/>
    </row>
    <row r="8" spans="1:11" ht="15.75" x14ac:dyDescent="0.25">
      <c r="G8" s="268"/>
      <c r="H8" s="268"/>
      <c r="I8" s="271" t="s">
        <v>516</v>
      </c>
      <c r="J8" s="271"/>
      <c r="K8" s="264"/>
    </row>
    <row r="9" spans="1:11" ht="15.6" customHeight="1" x14ac:dyDescent="0.25">
      <c r="G9" s="268"/>
      <c r="H9" s="268"/>
      <c r="I9" s="271" t="s">
        <v>281</v>
      </c>
      <c r="J9" s="271"/>
      <c r="K9" s="264"/>
    </row>
    <row r="10" spans="1:11" ht="15.75" x14ac:dyDescent="0.25">
      <c r="G10" s="268"/>
      <c r="H10" s="268"/>
      <c r="I10" s="272" t="s">
        <v>517</v>
      </c>
      <c r="J10" s="273"/>
      <c r="K10" s="264"/>
    </row>
    <row r="11" spans="1:11" ht="15.75" x14ac:dyDescent="0.25">
      <c r="G11" s="268"/>
      <c r="H11" s="268"/>
      <c r="I11" s="272" t="s">
        <v>282</v>
      </c>
      <c r="J11" s="273"/>
      <c r="K11" s="264"/>
    </row>
    <row r="12" spans="1:11" ht="14.1" customHeight="1" x14ac:dyDescent="0.25">
      <c r="G12" s="268"/>
      <c r="H12" s="268"/>
      <c r="I12" s="6" t="s">
        <v>518</v>
      </c>
      <c r="J12" s="274"/>
      <c r="K12" s="264"/>
    </row>
    <row r="13" spans="1:11" ht="20.25" customHeight="1" x14ac:dyDescent="0.25">
      <c r="G13" s="268"/>
      <c r="H13" s="268"/>
      <c r="I13" s="275" t="s">
        <v>276</v>
      </c>
      <c r="J13" s="276"/>
      <c r="K13" s="264"/>
    </row>
    <row r="14" spans="1:11" ht="15.75" x14ac:dyDescent="0.25">
      <c r="G14" s="268"/>
      <c r="H14" s="268"/>
      <c r="I14" s="277" t="s">
        <v>519</v>
      </c>
      <c r="K14" s="264"/>
    </row>
    <row r="15" spans="1:11" s="272" customFormat="1" ht="15.75" x14ac:dyDescent="0.25">
      <c r="A15" s="264"/>
      <c r="B15" s="265"/>
      <c r="C15" s="266"/>
      <c r="D15" s="267"/>
      <c r="E15" s="268"/>
      <c r="F15" s="266"/>
      <c r="G15" s="268"/>
      <c r="H15" s="268"/>
      <c r="I15" s="268"/>
      <c r="K15" s="278"/>
    </row>
    <row r="16" spans="1:11" ht="27" customHeight="1" x14ac:dyDescent="0.25">
      <c r="A16" s="870" t="s">
        <v>520</v>
      </c>
      <c r="B16" s="870"/>
      <c r="C16" s="870"/>
      <c r="D16" s="870"/>
      <c r="E16" s="870"/>
      <c r="F16" s="870"/>
      <c r="G16" s="870"/>
      <c r="H16" s="870"/>
      <c r="I16" s="870"/>
      <c r="J16" s="870"/>
      <c r="K16" s="870"/>
    </row>
    <row r="17" spans="1:11" ht="28.35" customHeight="1" x14ac:dyDescent="0.25">
      <c r="A17" s="871">
        <v>1559100000</v>
      </c>
      <c r="B17" s="871"/>
      <c r="C17" s="871"/>
      <c r="D17" s="872"/>
      <c r="E17" s="872"/>
      <c r="F17" s="872"/>
      <c r="G17" s="872"/>
      <c r="H17" s="872"/>
      <c r="I17" s="872"/>
      <c r="J17" s="872"/>
      <c r="K17" s="872"/>
    </row>
    <row r="18" spans="1:11" ht="22.15" customHeight="1" thickBot="1" x14ac:dyDescent="0.3">
      <c r="A18" s="873" t="s">
        <v>0</v>
      </c>
      <c r="B18" s="873"/>
      <c r="C18" s="873"/>
      <c r="D18" s="279"/>
      <c r="E18" s="279"/>
      <c r="F18" s="280"/>
      <c r="G18" s="279"/>
      <c r="H18" s="279"/>
      <c r="I18" s="279"/>
      <c r="J18" s="279"/>
      <c r="K18" s="281" t="s">
        <v>283</v>
      </c>
    </row>
    <row r="19" spans="1:11" s="272" customFormat="1" ht="77.25" customHeight="1" x14ac:dyDescent="0.25">
      <c r="A19" s="874" t="s">
        <v>10</v>
      </c>
      <c r="B19" s="876" t="s">
        <v>11</v>
      </c>
      <c r="C19" s="878" t="s">
        <v>521</v>
      </c>
      <c r="D19" s="876" t="s">
        <v>522</v>
      </c>
      <c r="E19" s="878" t="s">
        <v>523</v>
      </c>
      <c r="F19" s="876" t="s">
        <v>524</v>
      </c>
      <c r="G19" s="878" t="s">
        <v>525</v>
      </c>
      <c r="H19" s="880" t="s">
        <v>526</v>
      </c>
      <c r="I19" s="876" t="s">
        <v>527</v>
      </c>
      <c r="J19" s="880" t="s">
        <v>528</v>
      </c>
      <c r="K19" s="868" t="s">
        <v>529</v>
      </c>
    </row>
    <row r="20" spans="1:11" s="272" customFormat="1" ht="157.9" customHeight="1" thickBot="1" x14ac:dyDescent="0.3">
      <c r="A20" s="875"/>
      <c r="B20" s="877"/>
      <c r="C20" s="879"/>
      <c r="D20" s="877"/>
      <c r="E20" s="879"/>
      <c r="F20" s="877"/>
      <c r="G20" s="879"/>
      <c r="H20" s="881"/>
      <c r="I20" s="877"/>
      <c r="J20" s="881"/>
      <c r="K20" s="869"/>
    </row>
    <row r="21" spans="1:11" s="103" customFormat="1" ht="24" customHeight="1" thickBot="1" x14ac:dyDescent="0.3">
      <c r="A21" s="282" t="s">
        <v>530</v>
      </c>
      <c r="B21" s="283" t="s">
        <v>531</v>
      </c>
      <c r="C21" s="284" t="s">
        <v>532</v>
      </c>
      <c r="D21" s="283" t="s">
        <v>533</v>
      </c>
      <c r="E21" s="283" t="s">
        <v>534</v>
      </c>
      <c r="F21" s="283" t="s">
        <v>535</v>
      </c>
      <c r="G21" s="283" t="s">
        <v>536</v>
      </c>
      <c r="H21" s="284" t="s">
        <v>537</v>
      </c>
      <c r="I21" s="284" t="s">
        <v>538</v>
      </c>
      <c r="J21" s="285">
        <v>10</v>
      </c>
      <c r="K21" s="286">
        <v>11</v>
      </c>
    </row>
    <row r="22" spans="1:11" s="103" customFormat="1" ht="57" thickBot="1" x14ac:dyDescent="0.3">
      <c r="A22" s="287" t="s">
        <v>15</v>
      </c>
      <c r="B22" s="288"/>
      <c r="C22" s="289"/>
      <c r="D22" s="290" t="s">
        <v>539</v>
      </c>
      <c r="E22" s="291"/>
      <c r="F22" s="292"/>
      <c r="G22" s="293"/>
      <c r="H22" s="294"/>
      <c r="I22" s="294"/>
      <c r="J22" s="295">
        <f>J23</f>
        <v>49106664</v>
      </c>
      <c r="K22" s="296"/>
    </row>
    <row r="23" spans="1:11" s="103" customFormat="1" ht="60" customHeight="1" x14ac:dyDescent="0.25">
      <c r="A23" s="297" t="s">
        <v>18</v>
      </c>
      <c r="B23" s="298"/>
      <c r="C23" s="298"/>
      <c r="D23" s="299" t="s">
        <v>539</v>
      </c>
      <c r="E23" s="300"/>
      <c r="F23" s="301"/>
      <c r="G23" s="302"/>
      <c r="H23" s="303"/>
      <c r="I23" s="303"/>
      <c r="J23" s="304">
        <f>SUM(J24:J31)</f>
        <v>49106664</v>
      </c>
      <c r="K23" s="305"/>
    </row>
    <row r="24" spans="1:11" s="103" customFormat="1" ht="115.5" customHeight="1" x14ac:dyDescent="0.25">
      <c r="A24" s="306" t="s">
        <v>173</v>
      </c>
      <c r="B24" s="307" t="s">
        <v>174</v>
      </c>
      <c r="C24" s="307" t="s">
        <v>19</v>
      </c>
      <c r="D24" s="614" t="s">
        <v>175</v>
      </c>
      <c r="E24" s="308" t="s">
        <v>540</v>
      </c>
      <c r="F24" s="309"/>
      <c r="G24" s="310"/>
      <c r="H24" s="310"/>
      <c r="I24" s="310"/>
      <c r="J24" s="311">
        <f>338000</f>
        <v>338000</v>
      </c>
      <c r="K24" s="312"/>
    </row>
    <row r="25" spans="1:11" s="103" customFormat="1" ht="115.5" customHeight="1" x14ac:dyDescent="0.25">
      <c r="A25" s="306" t="s">
        <v>20</v>
      </c>
      <c r="B25" s="473" t="s">
        <v>21</v>
      </c>
      <c r="C25" s="473" t="s">
        <v>22</v>
      </c>
      <c r="D25" s="730" t="s">
        <v>23</v>
      </c>
      <c r="E25" s="308" t="s">
        <v>603</v>
      </c>
      <c r="F25" s="309"/>
      <c r="G25" s="310"/>
      <c r="H25" s="310"/>
      <c r="I25" s="310"/>
      <c r="J25" s="311">
        <v>2173600</v>
      </c>
      <c r="K25" s="312"/>
    </row>
    <row r="26" spans="1:11" s="103" customFormat="1" ht="103.9" customHeight="1" x14ac:dyDescent="0.25">
      <c r="A26" s="313" t="s">
        <v>24</v>
      </c>
      <c r="B26" s="314" t="s">
        <v>25</v>
      </c>
      <c r="C26" s="314" t="s">
        <v>26</v>
      </c>
      <c r="D26" s="483" t="s">
        <v>27</v>
      </c>
      <c r="E26" s="308" t="s">
        <v>540</v>
      </c>
      <c r="F26" s="309"/>
      <c r="G26" s="310"/>
      <c r="H26" s="310"/>
      <c r="I26" s="310"/>
      <c r="J26" s="311">
        <v>372400</v>
      </c>
      <c r="K26" s="312"/>
    </row>
    <row r="27" spans="1:11" s="103" customFormat="1" ht="88.15" customHeight="1" x14ac:dyDescent="0.25">
      <c r="A27" s="650" t="s">
        <v>31</v>
      </c>
      <c r="B27" s="651" t="s">
        <v>32</v>
      </c>
      <c r="C27" s="651" t="s">
        <v>33</v>
      </c>
      <c r="D27" s="483" t="s">
        <v>541</v>
      </c>
      <c r="E27" s="308" t="s">
        <v>540</v>
      </c>
      <c r="F27" s="309"/>
      <c r="G27" s="310"/>
      <c r="H27" s="310"/>
      <c r="I27" s="310"/>
      <c r="J27" s="311">
        <v>53364</v>
      </c>
      <c r="K27" s="312"/>
    </row>
    <row r="28" spans="1:11" s="103" customFormat="1" ht="99.6" customHeight="1" x14ac:dyDescent="0.25">
      <c r="A28" s="650" t="s">
        <v>255</v>
      </c>
      <c r="B28" s="651">
        <v>7650</v>
      </c>
      <c r="C28" s="651" t="s">
        <v>178</v>
      </c>
      <c r="D28" s="483" t="s">
        <v>256</v>
      </c>
      <c r="E28" s="308" t="s">
        <v>542</v>
      </c>
      <c r="F28" s="309"/>
      <c r="G28" s="310"/>
      <c r="H28" s="310"/>
      <c r="I28" s="310"/>
      <c r="J28" s="311">
        <v>57000</v>
      </c>
      <c r="K28" s="312"/>
    </row>
    <row r="29" spans="1:11" s="103" customFormat="1" ht="120" customHeight="1" x14ac:dyDescent="0.25">
      <c r="A29" s="650" t="s">
        <v>257</v>
      </c>
      <c r="B29" s="651" t="s">
        <v>258</v>
      </c>
      <c r="C29" s="651" t="s">
        <v>178</v>
      </c>
      <c r="D29" s="483" t="s">
        <v>259</v>
      </c>
      <c r="E29" s="308" t="s">
        <v>542</v>
      </c>
      <c r="F29" s="309"/>
      <c r="G29" s="310"/>
      <c r="H29" s="310"/>
      <c r="I29" s="310"/>
      <c r="J29" s="311">
        <v>16900</v>
      </c>
      <c r="K29" s="312"/>
    </row>
    <row r="30" spans="1:11" s="103" customFormat="1" ht="84.6" customHeight="1" x14ac:dyDescent="0.25">
      <c r="A30" s="650" t="s">
        <v>159</v>
      </c>
      <c r="B30" s="651" t="s">
        <v>180</v>
      </c>
      <c r="C30" s="651" t="s">
        <v>37</v>
      </c>
      <c r="D30" s="730" t="s">
        <v>160</v>
      </c>
      <c r="E30" s="308" t="s">
        <v>603</v>
      </c>
      <c r="F30" s="309"/>
      <c r="G30" s="310"/>
      <c r="H30" s="310"/>
      <c r="I30" s="310"/>
      <c r="J30" s="311">
        <v>900000</v>
      </c>
      <c r="K30" s="312"/>
    </row>
    <row r="31" spans="1:11" s="103" customFormat="1" ht="97.15" customHeight="1" thickBot="1" x14ac:dyDescent="0.3">
      <c r="A31" s="700" t="s">
        <v>436</v>
      </c>
      <c r="B31" s="467" t="s">
        <v>543</v>
      </c>
      <c r="C31" s="467" t="s">
        <v>226</v>
      </c>
      <c r="D31" s="613" t="s">
        <v>437</v>
      </c>
      <c r="E31" s="315" t="s">
        <v>544</v>
      </c>
      <c r="F31" s="316"/>
      <c r="G31" s="317"/>
      <c r="H31" s="317"/>
      <c r="I31" s="317"/>
      <c r="J31" s="318">
        <f>0+1000000+150000+2937000+26000+310400+1500000+4000000+3000000+5000000+1300000+4572000+4000000-4000000+5000000+3000000+1000000+2500000+900000+1000000+3000000+5000000</f>
        <v>45195400</v>
      </c>
      <c r="K31" s="319"/>
    </row>
    <row r="32" spans="1:11" s="103" customFormat="1" ht="97.15" customHeight="1" thickBot="1" x14ac:dyDescent="0.3">
      <c r="A32" s="701" t="s">
        <v>43</v>
      </c>
      <c r="B32" s="702"/>
      <c r="C32" s="702"/>
      <c r="D32" s="703" t="s">
        <v>649</v>
      </c>
      <c r="E32" s="704"/>
      <c r="F32" s="705"/>
      <c r="G32" s="706"/>
      <c r="H32" s="706"/>
      <c r="I32" s="706"/>
      <c r="J32" s="325">
        <f>J33</f>
        <v>1549318</v>
      </c>
      <c r="K32" s="707"/>
    </row>
    <row r="33" spans="1:11" s="103" customFormat="1" ht="48.6" customHeight="1" x14ac:dyDescent="0.25">
      <c r="A33" s="708" t="s">
        <v>45</v>
      </c>
      <c r="B33" s="328" t="s">
        <v>16</v>
      </c>
      <c r="C33" s="328" t="s">
        <v>16</v>
      </c>
      <c r="D33" s="329" t="s">
        <v>649</v>
      </c>
      <c r="E33" s="355"/>
      <c r="F33" s="363"/>
      <c r="G33" s="709"/>
      <c r="H33" s="709"/>
      <c r="I33" s="709"/>
      <c r="J33" s="333">
        <f>J34+J35</f>
        <v>1549318</v>
      </c>
      <c r="K33" s="731"/>
    </row>
    <row r="34" spans="1:11" s="103" customFormat="1" ht="66.599999999999994" customHeight="1" x14ac:dyDescent="0.25">
      <c r="A34" s="655" t="s">
        <v>47</v>
      </c>
      <c r="B34" s="651" t="s">
        <v>48</v>
      </c>
      <c r="C34" s="651" t="s">
        <v>49</v>
      </c>
      <c r="D34" s="492" t="s">
        <v>50</v>
      </c>
      <c r="E34" s="308" t="s">
        <v>540</v>
      </c>
      <c r="F34" s="710"/>
      <c r="G34" s="711"/>
      <c r="H34" s="711"/>
      <c r="I34" s="711"/>
      <c r="J34" s="311">
        <v>499750</v>
      </c>
      <c r="K34" s="732"/>
    </row>
    <row r="35" spans="1:11" s="103" customFormat="1" ht="114" customHeight="1" thickBot="1" x14ac:dyDescent="0.3">
      <c r="A35" s="655" t="s">
        <v>642</v>
      </c>
      <c r="B35" s="651" t="s">
        <v>643</v>
      </c>
      <c r="C35" s="651" t="s">
        <v>59</v>
      </c>
      <c r="D35" s="492" t="s">
        <v>644</v>
      </c>
      <c r="E35" s="308" t="s">
        <v>540</v>
      </c>
      <c r="F35" s="309"/>
      <c r="G35" s="310"/>
      <c r="H35" s="310"/>
      <c r="I35" s="310"/>
      <c r="J35" s="311">
        <v>1049568</v>
      </c>
      <c r="K35" s="312"/>
    </row>
    <row r="36" spans="1:11" s="103" customFormat="1" ht="66" customHeight="1" thickBot="1" x14ac:dyDescent="0.3">
      <c r="A36" s="320" t="s">
        <v>70</v>
      </c>
      <c r="B36" s="321" t="s">
        <v>16</v>
      </c>
      <c r="C36" s="321" t="s">
        <v>16</v>
      </c>
      <c r="D36" s="712" t="s">
        <v>71</v>
      </c>
      <c r="E36" s="322"/>
      <c r="F36" s="323"/>
      <c r="G36" s="324"/>
      <c r="H36" s="324"/>
      <c r="I36" s="324"/>
      <c r="J36" s="325">
        <f>J37</f>
        <v>2291282</v>
      </c>
      <c r="K36" s="326"/>
    </row>
    <row r="37" spans="1:11" s="103" customFormat="1" ht="56.25" x14ac:dyDescent="0.25">
      <c r="A37" s="327" t="s">
        <v>72</v>
      </c>
      <c r="B37" s="328" t="s">
        <v>16</v>
      </c>
      <c r="C37" s="328" t="s">
        <v>16</v>
      </c>
      <c r="D37" s="329" t="s">
        <v>71</v>
      </c>
      <c r="E37" s="330"/>
      <c r="F37" s="331"/>
      <c r="G37" s="332"/>
      <c r="H37" s="332"/>
      <c r="I37" s="332"/>
      <c r="J37" s="333">
        <f>J38+J39+J40</f>
        <v>2291282</v>
      </c>
      <c r="K37" s="334"/>
    </row>
    <row r="38" spans="1:11" s="103" customFormat="1" ht="83.45" customHeight="1" x14ac:dyDescent="0.25">
      <c r="A38" s="313" t="s">
        <v>188</v>
      </c>
      <c r="B38" s="314" t="s">
        <v>46</v>
      </c>
      <c r="C38" s="314" t="s">
        <v>19</v>
      </c>
      <c r="D38" s="483" t="s">
        <v>182</v>
      </c>
      <c r="E38" s="308" t="s">
        <v>540</v>
      </c>
      <c r="F38" s="309"/>
      <c r="G38" s="310"/>
      <c r="H38" s="310"/>
      <c r="I38" s="310"/>
      <c r="J38" s="311">
        <v>46000</v>
      </c>
      <c r="K38" s="312"/>
    </row>
    <row r="39" spans="1:11" s="103" customFormat="1" ht="76.150000000000006" customHeight="1" x14ac:dyDescent="0.25">
      <c r="A39" s="335" t="s">
        <v>189</v>
      </c>
      <c r="B39" s="336" t="s">
        <v>190</v>
      </c>
      <c r="C39" s="336" t="s">
        <v>48</v>
      </c>
      <c r="D39" s="613" t="s">
        <v>191</v>
      </c>
      <c r="E39" s="337" t="s">
        <v>540</v>
      </c>
      <c r="F39" s="316"/>
      <c r="G39" s="317"/>
      <c r="H39" s="317"/>
      <c r="I39" s="317"/>
      <c r="J39" s="318">
        <v>80500</v>
      </c>
      <c r="K39" s="319"/>
    </row>
    <row r="40" spans="1:11" s="103" customFormat="1" ht="409.15" customHeight="1" x14ac:dyDescent="0.25">
      <c r="A40" s="626" t="s">
        <v>592</v>
      </c>
      <c r="B40" s="657" t="s">
        <v>593</v>
      </c>
      <c r="C40" s="657" t="s">
        <v>594</v>
      </c>
      <c r="D40" s="627" t="s">
        <v>595</v>
      </c>
      <c r="E40" s="400" t="s">
        <v>596</v>
      </c>
      <c r="F40" s="309"/>
      <c r="G40" s="310"/>
      <c r="H40" s="310"/>
      <c r="I40" s="310"/>
      <c r="J40" s="311">
        <v>2164782</v>
      </c>
      <c r="K40" s="312"/>
    </row>
    <row r="41" spans="1:11" s="103" customFormat="1" ht="82.5" customHeight="1" thickBot="1" x14ac:dyDescent="0.3">
      <c r="A41" s="713" t="s">
        <v>90</v>
      </c>
      <c r="B41" s="714" t="s">
        <v>16</v>
      </c>
      <c r="C41" s="714" t="s">
        <v>16</v>
      </c>
      <c r="D41" s="712" t="s">
        <v>91</v>
      </c>
      <c r="E41" s="715"/>
      <c r="F41" s="716"/>
      <c r="G41" s="717"/>
      <c r="H41" s="717"/>
      <c r="I41" s="717"/>
      <c r="J41" s="718">
        <f>J42</f>
        <v>1744299</v>
      </c>
      <c r="K41" s="719"/>
    </row>
    <row r="42" spans="1:11" s="103" customFormat="1" ht="75" x14ac:dyDescent="0.25">
      <c r="A42" s="327" t="s">
        <v>92</v>
      </c>
      <c r="B42" s="328" t="s">
        <v>16</v>
      </c>
      <c r="C42" s="328" t="s">
        <v>16</v>
      </c>
      <c r="D42" s="329" t="s">
        <v>91</v>
      </c>
      <c r="E42" s="338"/>
      <c r="F42" s="339"/>
      <c r="G42" s="340"/>
      <c r="H42" s="340"/>
      <c r="I42" s="340"/>
      <c r="J42" s="333">
        <f>J43+J44+J45+J46+J47</f>
        <v>1744299</v>
      </c>
      <c r="K42" s="341"/>
    </row>
    <row r="43" spans="1:11" s="103" customFormat="1" ht="55.15" customHeight="1" x14ac:dyDescent="0.25">
      <c r="A43" s="313" t="s">
        <v>93</v>
      </c>
      <c r="B43" s="314" t="s">
        <v>94</v>
      </c>
      <c r="C43" s="314" t="s">
        <v>57</v>
      </c>
      <c r="D43" s="483" t="s">
        <v>95</v>
      </c>
      <c r="E43" s="308" t="s">
        <v>540</v>
      </c>
      <c r="F43" s="342"/>
      <c r="G43" s="343"/>
      <c r="H43" s="343"/>
      <c r="I43" s="343"/>
      <c r="J43" s="311">
        <v>27000</v>
      </c>
      <c r="K43" s="344"/>
    </row>
    <row r="44" spans="1:11" s="103" customFormat="1" ht="52.9" customHeight="1" x14ac:dyDescent="0.25">
      <c r="A44" s="313" t="s">
        <v>99</v>
      </c>
      <c r="B44" s="314" t="s">
        <v>100</v>
      </c>
      <c r="C44" s="314" t="s">
        <v>101</v>
      </c>
      <c r="D44" s="483" t="s">
        <v>102</v>
      </c>
      <c r="E44" s="308" t="s">
        <v>540</v>
      </c>
      <c r="F44" s="342"/>
      <c r="G44" s="343"/>
      <c r="H44" s="343"/>
      <c r="I44" s="343"/>
      <c r="J44" s="311">
        <v>50000</v>
      </c>
      <c r="K44" s="344"/>
    </row>
    <row r="45" spans="1:11" s="103" customFormat="1" ht="49.9" customHeight="1" x14ac:dyDescent="0.25">
      <c r="A45" s="313" t="s">
        <v>103</v>
      </c>
      <c r="B45" s="314" t="s">
        <v>104</v>
      </c>
      <c r="C45" s="314" t="s">
        <v>101</v>
      </c>
      <c r="D45" s="483" t="s">
        <v>105</v>
      </c>
      <c r="E45" s="308" t="s">
        <v>540</v>
      </c>
      <c r="F45" s="342"/>
      <c r="G45" s="343"/>
      <c r="H45" s="343"/>
      <c r="I45" s="343"/>
      <c r="J45" s="311">
        <v>50299</v>
      </c>
      <c r="K45" s="344"/>
    </row>
    <row r="46" spans="1:11" s="103" customFormat="1" ht="51.6" customHeight="1" x14ac:dyDescent="0.25">
      <c r="A46" s="313" t="s">
        <v>200</v>
      </c>
      <c r="B46" s="314" t="s">
        <v>201</v>
      </c>
      <c r="C46" s="314" t="s">
        <v>110</v>
      </c>
      <c r="D46" s="613" t="s">
        <v>202</v>
      </c>
      <c r="E46" s="337" t="s">
        <v>540</v>
      </c>
      <c r="F46" s="342"/>
      <c r="G46" s="343"/>
      <c r="H46" s="343"/>
      <c r="I46" s="343"/>
      <c r="J46" s="311">
        <v>23000</v>
      </c>
      <c r="K46" s="344"/>
    </row>
    <row r="47" spans="1:11" s="103" customFormat="1" ht="51.6" customHeight="1" thickBot="1" x14ac:dyDescent="0.35">
      <c r="A47" s="335">
        <v>1015041</v>
      </c>
      <c r="B47" s="336">
        <v>5041</v>
      </c>
      <c r="C47" s="474" t="s">
        <v>116</v>
      </c>
      <c r="D47" s="615" t="s">
        <v>161</v>
      </c>
      <c r="E47" s="475" t="s">
        <v>603</v>
      </c>
      <c r="F47" s="476"/>
      <c r="G47" s="345"/>
      <c r="H47" s="345"/>
      <c r="I47" s="345"/>
      <c r="J47" s="346">
        <v>1594000</v>
      </c>
      <c r="K47" s="602"/>
    </row>
    <row r="48" spans="1:11" s="103" customFormat="1" ht="72.599999999999994" customHeight="1" thickBot="1" x14ac:dyDescent="0.3">
      <c r="A48" s="347" t="s">
        <v>127</v>
      </c>
      <c r="B48" s="288"/>
      <c r="C48" s="288"/>
      <c r="D48" s="348" t="s">
        <v>545</v>
      </c>
      <c r="E48" s="349"/>
      <c r="F48" s="292"/>
      <c r="G48" s="350"/>
      <c r="H48" s="350"/>
      <c r="I48" s="350"/>
      <c r="J48" s="351">
        <f>J49</f>
        <v>10383000</v>
      </c>
      <c r="K48" s="296"/>
    </row>
    <row r="49" spans="1:11" s="103" customFormat="1" ht="77.25" customHeight="1" x14ac:dyDescent="0.25">
      <c r="A49" s="352" t="s">
        <v>129</v>
      </c>
      <c r="B49" s="353"/>
      <c r="C49" s="353"/>
      <c r="D49" s="354" t="s">
        <v>545</v>
      </c>
      <c r="E49" s="355"/>
      <c r="F49" s="356"/>
      <c r="G49" s="357"/>
      <c r="H49" s="357"/>
      <c r="I49" s="357"/>
      <c r="J49" s="358">
        <f>SUM(J50:J52)</f>
        <v>10383000</v>
      </c>
      <c r="K49" s="359"/>
    </row>
    <row r="50" spans="1:11" s="103" customFormat="1" ht="60.75" customHeight="1" x14ac:dyDescent="0.25">
      <c r="A50" s="306" t="s">
        <v>130</v>
      </c>
      <c r="B50" s="307" t="s">
        <v>46</v>
      </c>
      <c r="C50" s="307" t="s">
        <v>19</v>
      </c>
      <c r="D50" s="614" t="s">
        <v>546</v>
      </c>
      <c r="E50" s="308" t="s">
        <v>540</v>
      </c>
      <c r="F50" s="414"/>
      <c r="G50" s="477"/>
      <c r="H50" s="477"/>
      <c r="I50" s="477"/>
      <c r="J50" s="311">
        <v>23000</v>
      </c>
      <c r="K50" s="603"/>
    </row>
    <row r="51" spans="1:11" s="103" customFormat="1" ht="60.75" customHeight="1" x14ac:dyDescent="0.25">
      <c r="A51" s="307" t="s">
        <v>659</v>
      </c>
      <c r="B51" s="307" t="s">
        <v>660</v>
      </c>
      <c r="C51" s="307" t="s">
        <v>29</v>
      </c>
      <c r="D51" s="614" t="s">
        <v>449</v>
      </c>
      <c r="E51" s="308" t="s">
        <v>603</v>
      </c>
      <c r="F51" s="414"/>
      <c r="G51" s="477"/>
      <c r="H51" s="477"/>
      <c r="I51" s="477"/>
      <c r="J51" s="311">
        <v>5400000</v>
      </c>
      <c r="K51" s="746"/>
    </row>
    <row r="52" spans="1:11" s="103" customFormat="1" ht="60.75" customHeight="1" thickBot="1" x14ac:dyDescent="0.3">
      <c r="A52" s="478" t="s">
        <v>138</v>
      </c>
      <c r="B52" s="479" t="s">
        <v>28</v>
      </c>
      <c r="C52" s="479" t="s">
        <v>29</v>
      </c>
      <c r="D52" s="614" t="s">
        <v>30</v>
      </c>
      <c r="E52" s="308" t="s">
        <v>603</v>
      </c>
      <c r="F52" s="480"/>
      <c r="G52" s="481"/>
      <c r="H52" s="481"/>
      <c r="I52" s="481"/>
      <c r="J52" s="318">
        <v>4960000</v>
      </c>
      <c r="K52" s="482"/>
    </row>
    <row r="53" spans="1:11" s="495" customFormat="1" ht="64.5" customHeight="1" thickBot="1" x14ac:dyDescent="0.3">
      <c r="A53" s="628" t="s">
        <v>147</v>
      </c>
      <c r="B53" s="629"/>
      <c r="C53" s="629"/>
      <c r="D53" s="630" t="s">
        <v>547</v>
      </c>
      <c r="E53" s="631"/>
      <c r="F53" s="629"/>
      <c r="G53" s="632"/>
      <c r="H53" s="632"/>
      <c r="I53" s="632"/>
      <c r="J53" s="633">
        <f>J54</f>
        <v>90927216</v>
      </c>
      <c r="K53" s="634"/>
    </row>
    <row r="54" spans="1:11" s="103" customFormat="1" ht="57.75" customHeight="1" x14ac:dyDescent="0.25">
      <c r="A54" s="352" t="s">
        <v>149</v>
      </c>
      <c r="B54" s="331"/>
      <c r="C54" s="339"/>
      <c r="D54" s="361" t="s">
        <v>547</v>
      </c>
      <c r="E54" s="362"/>
      <c r="F54" s="363"/>
      <c r="G54" s="364"/>
      <c r="H54" s="364"/>
      <c r="I54" s="364"/>
      <c r="J54" s="364">
        <f>J56+J59+J61+J66+J68+J71+J82+J87+J90+J92+J93+J96+J97+J98+J62+J65+J75+J77+J89+J94+J99+J55+J79+J80+J85+J86+J103+J104+J64+J81</f>
        <v>90927216</v>
      </c>
      <c r="K54" s="365"/>
    </row>
    <row r="55" spans="1:11" s="103" customFormat="1" ht="69.599999999999994" customHeight="1" x14ac:dyDescent="0.25">
      <c r="A55" s="478" t="s">
        <v>205</v>
      </c>
      <c r="B55" s="316" t="s">
        <v>46</v>
      </c>
      <c r="C55" s="316" t="s">
        <v>19</v>
      </c>
      <c r="D55" s="483" t="s">
        <v>182</v>
      </c>
      <c r="E55" s="308" t="s">
        <v>540</v>
      </c>
      <c r="F55" s="363"/>
      <c r="G55" s="364"/>
      <c r="H55" s="364"/>
      <c r="I55" s="364"/>
      <c r="J55" s="484">
        <v>198750</v>
      </c>
      <c r="K55" s="365"/>
    </row>
    <row r="56" spans="1:11" s="103" customFormat="1" ht="234" customHeight="1" x14ac:dyDescent="0.25">
      <c r="A56" s="860" t="s">
        <v>548</v>
      </c>
      <c r="B56" s="852" t="s">
        <v>52</v>
      </c>
      <c r="C56" s="852" t="s">
        <v>53</v>
      </c>
      <c r="D56" s="863" t="s">
        <v>444</v>
      </c>
      <c r="E56" s="617" t="s">
        <v>604</v>
      </c>
      <c r="F56" s="867" t="s">
        <v>554</v>
      </c>
      <c r="G56" s="373">
        <v>16389490</v>
      </c>
      <c r="H56" s="368">
        <v>11185952</v>
      </c>
      <c r="I56" s="369">
        <f>(H56/G56)*100%</f>
        <v>0.68250763141501047</v>
      </c>
      <c r="J56" s="373">
        <v>5203538</v>
      </c>
      <c r="K56" s="370">
        <v>1</v>
      </c>
    </row>
    <row r="57" spans="1:11" s="391" customFormat="1" ht="24" customHeight="1" x14ac:dyDescent="0.25">
      <c r="A57" s="861"/>
      <c r="B57" s="853"/>
      <c r="C57" s="853"/>
      <c r="D57" s="864"/>
      <c r="E57" s="485" t="s">
        <v>552</v>
      </c>
      <c r="F57" s="867"/>
      <c r="G57" s="486">
        <v>276327</v>
      </c>
      <c r="H57" s="487">
        <v>276327</v>
      </c>
      <c r="I57" s="488">
        <v>1</v>
      </c>
      <c r="J57" s="419"/>
      <c r="K57" s="379">
        <v>1</v>
      </c>
    </row>
    <row r="58" spans="1:11" s="391" customFormat="1" ht="29.45" customHeight="1" x14ac:dyDescent="0.25">
      <c r="A58" s="862"/>
      <c r="B58" s="854"/>
      <c r="C58" s="854"/>
      <c r="D58" s="865"/>
      <c r="E58" s="489" t="s">
        <v>605</v>
      </c>
      <c r="F58" s="867"/>
      <c r="G58" s="490">
        <v>587560</v>
      </c>
      <c r="H58" s="491">
        <v>379945</v>
      </c>
      <c r="I58" s="488">
        <v>0.65</v>
      </c>
      <c r="J58" s="419">
        <v>183500</v>
      </c>
      <c r="K58" s="379">
        <v>1</v>
      </c>
    </row>
    <row r="59" spans="1:11" s="103" customFormat="1" ht="233.45" customHeight="1" x14ac:dyDescent="0.25">
      <c r="A59" s="860" t="s">
        <v>548</v>
      </c>
      <c r="B59" s="852" t="s">
        <v>52</v>
      </c>
      <c r="C59" s="852" t="s">
        <v>53</v>
      </c>
      <c r="D59" s="863" t="s">
        <v>444</v>
      </c>
      <c r="E59" s="371" t="s">
        <v>550</v>
      </c>
      <c r="F59" s="888" t="s">
        <v>551</v>
      </c>
      <c r="G59" s="372">
        <v>23825333</v>
      </c>
      <c r="H59" s="368">
        <f>H60</f>
        <v>274112.37</v>
      </c>
      <c r="I59" s="369">
        <f>H59/G59</f>
        <v>1.150508032773351E-2</v>
      </c>
      <c r="J59" s="368">
        <f>15000000+1205842-5000000+12345379</f>
        <v>23551221</v>
      </c>
      <c r="K59" s="370">
        <v>1</v>
      </c>
    </row>
    <row r="60" spans="1:11" s="103" customFormat="1" ht="32.450000000000003" customHeight="1" x14ac:dyDescent="0.25">
      <c r="A60" s="893"/>
      <c r="B60" s="894"/>
      <c r="C60" s="894"/>
      <c r="D60" s="895"/>
      <c r="E60" s="374" t="s">
        <v>552</v>
      </c>
      <c r="F60" s="889"/>
      <c r="G60" s="375">
        <v>1675846</v>
      </c>
      <c r="H60" s="376">
        <v>274112.37</v>
      </c>
      <c r="I60" s="377">
        <f>H60/G60</f>
        <v>0.16356656279872972</v>
      </c>
      <c r="J60" s="378">
        <v>1205842</v>
      </c>
      <c r="K60" s="379">
        <v>1</v>
      </c>
    </row>
    <row r="61" spans="1:11" s="103" customFormat="1" ht="312" customHeight="1" x14ac:dyDescent="0.25">
      <c r="A61" s="860" t="s">
        <v>548</v>
      </c>
      <c r="B61" s="852" t="s">
        <v>52</v>
      </c>
      <c r="C61" s="852" t="s">
        <v>53</v>
      </c>
      <c r="D61" s="863" t="s">
        <v>444</v>
      </c>
      <c r="E61" s="733" t="s">
        <v>606</v>
      </c>
      <c r="F61" s="890" t="s">
        <v>549</v>
      </c>
      <c r="G61" s="373">
        <v>4900988</v>
      </c>
      <c r="H61" s="368">
        <v>0</v>
      </c>
      <c r="I61" s="369">
        <v>0</v>
      </c>
      <c r="J61" s="373">
        <v>4658554</v>
      </c>
      <c r="K61" s="370">
        <v>0.95</v>
      </c>
    </row>
    <row r="62" spans="1:11" s="103" customFormat="1" ht="204" hidden="1" customHeight="1" x14ac:dyDescent="0.25">
      <c r="A62" s="861"/>
      <c r="B62" s="853"/>
      <c r="C62" s="853"/>
      <c r="D62" s="864"/>
      <c r="E62" s="400" t="s">
        <v>555</v>
      </c>
      <c r="F62" s="891"/>
      <c r="G62" s="373">
        <v>874564</v>
      </c>
      <c r="H62" s="368">
        <v>0</v>
      </c>
      <c r="I62" s="369">
        <v>0</v>
      </c>
      <c r="J62" s="373">
        <f>874564-874564</f>
        <v>0</v>
      </c>
      <c r="K62" s="370">
        <v>1</v>
      </c>
    </row>
    <row r="63" spans="1:11" s="103" customFormat="1" ht="41.45" customHeight="1" x14ac:dyDescent="0.25">
      <c r="A63" s="862"/>
      <c r="B63" s="854"/>
      <c r="C63" s="854"/>
      <c r="D63" s="865"/>
      <c r="E63" s="635" t="s">
        <v>565</v>
      </c>
      <c r="F63" s="892"/>
      <c r="G63" s="419">
        <v>268825</v>
      </c>
      <c r="H63" s="397">
        <v>0</v>
      </c>
      <c r="I63" s="488">
        <v>0</v>
      </c>
      <c r="J63" s="419">
        <v>242435</v>
      </c>
      <c r="K63" s="379">
        <v>1</v>
      </c>
    </row>
    <row r="64" spans="1:11" s="103" customFormat="1" ht="237.6" customHeight="1" x14ac:dyDescent="0.25">
      <c r="A64" s="664" t="s">
        <v>548</v>
      </c>
      <c r="B64" s="653" t="s">
        <v>52</v>
      </c>
      <c r="C64" s="653" t="s">
        <v>53</v>
      </c>
      <c r="D64" s="666" t="s">
        <v>444</v>
      </c>
      <c r="E64" s="636" t="s">
        <v>650</v>
      </c>
      <c r="F64" s="671" t="s">
        <v>553</v>
      </c>
      <c r="G64" s="373">
        <v>258243</v>
      </c>
      <c r="H64" s="368"/>
      <c r="I64" s="369"/>
      <c r="J64" s="373">
        <v>258243</v>
      </c>
      <c r="K64" s="370">
        <v>1</v>
      </c>
    </row>
    <row r="65" spans="1:11" s="103" customFormat="1" ht="157.15" customHeight="1" x14ac:dyDescent="0.25">
      <c r="A65" s="663" t="s">
        <v>556</v>
      </c>
      <c r="B65" s="652" t="s">
        <v>21</v>
      </c>
      <c r="C65" s="652" t="s">
        <v>22</v>
      </c>
      <c r="D65" s="492" t="s">
        <v>23</v>
      </c>
      <c r="E65" s="636" t="s">
        <v>557</v>
      </c>
      <c r="F65" s="672" t="s">
        <v>558</v>
      </c>
      <c r="G65" s="373">
        <v>1463482</v>
      </c>
      <c r="H65" s="368">
        <v>1264348</v>
      </c>
      <c r="I65" s="369">
        <f>(H65/G65)*100%</f>
        <v>0.86393136369289136</v>
      </c>
      <c r="J65" s="373">
        <v>103135</v>
      </c>
      <c r="K65" s="370">
        <v>1</v>
      </c>
    </row>
    <row r="66" spans="1:11" s="103" customFormat="1" ht="118.9" customHeight="1" x14ac:dyDescent="0.25">
      <c r="A66" s="884">
        <v>1514060</v>
      </c>
      <c r="B66" s="885">
        <v>4060</v>
      </c>
      <c r="C66" s="886" t="s">
        <v>108</v>
      </c>
      <c r="D66" s="887" t="s">
        <v>109</v>
      </c>
      <c r="E66" s="380" t="s">
        <v>559</v>
      </c>
      <c r="F66" s="882" t="s">
        <v>549</v>
      </c>
      <c r="G66" s="381">
        <v>6058427</v>
      </c>
      <c r="H66" s="382">
        <v>2726948.29</v>
      </c>
      <c r="I66" s="383">
        <f>H66/G66</f>
        <v>0.45010830203945679</v>
      </c>
      <c r="J66" s="384">
        <f>2295144-694188-1600956+3169264-690455</f>
        <v>2478809</v>
      </c>
      <c r="K66" s="385">
        <v>1</v>
      </c>
    </row>
    <row r="67" spans="1:11" s="391" customFormat="1" ht="28.15" customHeight="1" x14ac:dyDescent="0.25">
      <c r="A67" s="884"/>
      <c r="B67" s="885"/>
      <c r="C67" s="886"/>
      <c r="D67" s="887"/>
      <c r="E67" s="386" t="s">
        <v>552</v>
      </c>
      <c r="F67" s="882"/>
      <c r="G67" s="387">
        <v>181142</v>
      </c>
      <c r="H67" s="388">
        <v>178959.68</v>
      </c>
      <c r="I67" s="389">
        <v>1</v>
      </c>
      <c r="J67" s="384"/>
      <c r="K67" s="390">
        <v>1</v>
      </c>
    </row>
    <row r="68" spans="1:11" s="103" customFormat="1" ht="149.44999999999999" customHeight="1" x14ac:dyDescent="0.25">
      <c r="A68" s="858">
        <v>1516012</v>
      </c>
      <c r="B68" s="847">
        <v>6012</v>
      </c>
      <c r="C68" s="852" t="s">
        <v>29</v>
      </c>
      <c r="D68" s="855" t="s">
        <v>244</v>
      </c>
      <c r="E68" s="392" t="s">
        <v>622</v>
      </c>
      <c r="F68" s="847" t="s">
        <v>560</v>
      </c>
      <c r="G68" s="367">
        <v>15864964</v>
      </c>
      <c r="H68" s="368">
        <f>H69+H70</f>
        <v>549821.11</v>
      </c>
      <c r="I68" s="393">
        <f>H68/G68</f>
        <v>3.4656309967044364E-2</v>
      </c>
      <c r="J68" s="394">
        <f>1444539-1444539+752140+1183600+182148+8935634</f>
        <v>11053522</v>
      </c>
      <c r="K68" s="395">
        <f>(J68+H68)/G68</f>
        <v>0.7313816224228431</v>
      </c>
    </row>
    <row r="69" spans="1:11" s="103" customFormat="1" ht="20.25" x14ac:dyDescent="0.25">
      <c r="A69" s="866"/>
      <c r="B69" s="848"/>
      <c r="C69" s="853"/>
      <c r="D69" s="856"/>
      <c r="E69" s="396" t="s">
        <v>561</v>
      </c>
      <c r="F69" s="848"/>
      <c r="G69" s="397">
        <f>280375.62</f>
        <v>280375.62</v>
      </c>
      <c r="H69" s="397">
        <f>280375.62</f>
        <v>280375.62</v>
      </c>
      <c r="I69" s="398">
        <v>1</v>
      </c>
      <c r="J69" s="388"/>
      <c r="K69" s="399">
        <v>1</v>
      </c>
    </row>
    <row r="70" spans="1:11" s="103" customFormat="1" ht="20.25" x14ac:dyDescent="0.25">
      <c r="A70" s="859"/>
      <c r="B70" s="849"/>
      <c r="C70" s="854"/>
      <c r="D70" s="857"/>
      <c r="E70" s="396" t="s">
        <v>562</v>
      </c>
      <c r="F70" s="849"/>
      <c r="G70" s="734">
        <v>269445</v>
      </c>
      <c r="H70" s="397">
        <v>269445.49</v>
      </c>
      <c r="I70" s="398">
        <v>1</v>
      </c>
      <c r="J70" s="388"/>
      <c r="K70" s="399">
        <v>1</v>
      </c>
    </row>
    <row r="71" spans="1:11" s="103" customFormat="1" ht="138.6" customHeight="1" x14ac:dyDescent="0.25">
      <c r="A71" s="858">
        <v>1516012</v>
      </c>
      <c r="B71" s="847">
        <v>6012</v>
      </c>
      <c r="C71" s="852" t="s">
        <v>29</v>
      </c>
      <c r="D71" s="855" t="s">
        <v>244</v>
      </c>
      <c r="E71" s="400" t="s">
        <v>621</v>
      </c>
      <c r="F71" s="850" t="s">
        <v>553</v>
      </c>
      <c r="G71" s="401">
        <v>18595843</v>
      </c>
      <c r="H71" s="402">
        <v>0</v>
      </c>
      <c r="I71" s="403">
        <v>0</v>
      </c>
      <c r="J71" s="367">
        <f>1497526+4000000+10000000</f>
        <v>15497526</v>
      </c>
      <c r="K71" s="385">
        <f>J71/G71*100%</f>
        <v>0.83338658000070232</v>
      </c>
    </row>
    <row r="72" spans="1:11" s="103" customFormat="1" ht="31.15" customHeight="1" x14ac:dyDescent="0.25">
      <c r="A72" s="859"/>
      <c r="B72" s="849"/>
      <c r="C72" s="854"/>
      <c r="D72" s="857"/>
      <c r="E72" s="493" t="s">
        <v>565</v>
      </c>
      <c r="F72" s="851"/>
      <c r="G72" s="387">
        <v>1497526</v>
      </c>
      <c r="H72" s="404"/>
      <c r="I72" s="405">
        <v>0</v>
      </c>
      <c r="J72" s="406">
        <v>1497526</v>
      </c>
      <c r="K72" s="390">
        <v>1</v>
      </c>
    </row>
    <row r="73" spans="1:11" s="103" customFormat="1" ht="31.15" customHeight="1" x14ac:dyDescent="0.25">
      <c r="A73" s="720" t="s">
        <v>651</v>
      </c>
      <c r="B73" s="660"/>
      <c r="C73" s="653"/>
      <c r="D73" s="661" t="s">
        <v>652</v>
      </c>
      <c r="E73" s="721"/>
      <c r="F73" s="662"/>
      <c r="G73" s="722"/>
      <c r="H73" s="430"/>
      <c r="I73" s="723"/>
      <c r="J73" s="724"/>
      <c r="K73" s="390"/>
    </row>
    <row r="74" spans="1:11" s="103" customFormat="1" ht="54" customHeight="1" x14ac:dyDescent="0.25">
      <c r="A74" s="667"/>
      <c r="B74" s="668"/>
      <c r="C74" s="669"/>
      <c r="D74" s="725" t="s">
        <v>646</v>
      </c>
      <c r="E74" s="726"/>
      <c r="F74" s="672"/>
      <c r="G74" s="387"/>
      <c r="H74" s="404"/>
      <c r="I74" s="405"/>
      <c r="J74" s="406">
        <v>10000000</v>
      </c>
      <c r="K74" s="390"/>
    </row>
    <row r="75" spans="1:11" s="103" customFormat="1" ht="145.15" customHeight="1" x14ac:dyDescent="0.25">
      <c r="A75" s="858">
        <v>1516012</v>
      </c>
      <c r="B75" s="847">
        <v>6012</v>
      </c>
      <c r="C75" s="852" t="s">
        <v>29</v>
      </c>
      <c r="D75" s="855" t="s">
        <v>244</v>
      </c>
      <c r="E75" s="400" t="s">
        <v>563</v>
      </c>
      <c r="F75" s="850" t="s">
        <v>549</v>
      </c>
      <c r="G75" s="401">
        <v>2011948</v>
      </c>
      <c r="H75" s="402">
        <v>218940</v>
      </c>
      <c r="I75" s="403">
        <f>(H75/G75)*100%</f>
        <v>0.10881990985850529</v>
      </c>
      <c r="J75" s="382">
        <v>1748351</v>
      </c>
      <c r="K75" s="385">
        <v>1</v>
      </c>
    </row>
    <row r="76" spans="1:11" s="391" customFormat="1" ht="31.9" customHeight="1" x14ac:dyDescent="0.25">
      <c r="A76" s="859"/>
      <c r="B76" s="849"/>
      <c r="C76" s="854"/>
      <c r="D76" s="857"/>
      <c r="E76" s="493" t="s">
        <v>552</v>
      </c>
      <c r="F76" s="851"/>
      <c r="G76" s="387">
        <v>263597</v>
      </c>
      <c r="H76" s="404">
        <v>218940</v>
      </c>
      <c r="I76" s="405">
        <v>1</v>
      </c>
      <c r="J76" s="406"/>
      <c r="K76" s="390">
        <v>1</v>
      </c>
    </row>
    <row r="77" spans="1:11" s="103" customFormat="1" ht="155.44999999999999" customHeight="1" x14ac:dyDescent="0.25">
      <c r="A77" s="858">
        <v>1516012</v>
      </c>
      <c r="B77" s="847">
        <v>6012</v>
      </c>
      <c r="C77" s="852" t="s">
        <v>29</v>
      </c>
      <c r="D77" s="855" t="s">
        <v>244</v>
      </c>
      <c r="E77" s="636" t="s">
        <v>564</v>
      </c>
      <c r="F77" s="896" t="s">
        <v>553</v>
      </c>
      <c r="G77" s="401">
        <v>3262468</v>
      </c>
      <c r="H77" s="402">
        <v>0</v>
      </c>
      <c r="I77" s="403">
        <v>0</v>
      </c>
      <c r="J77" s="382">
        <v>2894056</v>
      </c>
      <c r="K77" s="385">
        <v>1</v>
      </c>
    </row>
    <row r="78" spans="1:11" s="391" customFormat="1" ht="34.15" customHeight="1" x14ac:dyDescent="0.25">
      <c r="A78" s="859"/>
      <c r="B78" s="849"/>
      <c r="C78" s="854"/>
      <c r="D78" s="857"/>
      <c r="E78" s="635" t="s">
        <v>565</v>
      </c>
      <c r="F78" s="896"/>
      <c r="G78" s="618">
        <v>49800</v>
      </c>
      <c r="H78" s="409"/>
      <c r="I78" s="619"/>
      <c r="J78" s="388">
        <v>49800</v>
      </c>
      <c r="K78" s="390">
        <v>1</v>
      </c>
    </row>
    <row r="79" spans="1:11" s="391" customFormat="1" ht="160.9" customHeight="1" x14ac:dyDescent="0.25">
      <c r="A79" s="659">
        <v>1516012</v>
      </c>
      <c r="B79" s="660">
        <v>6012</v>
      </c>
      <c r="C79" s="653" t="s">
        <v>29</v>
      </c>
      <c r="D79" s="661" t="s">
        <v>607</v>
      </c>
      <c r="E79" s="637" t="s">
        <v>633</v>
      </c>
      <c r="F79" s="648" t="s">
        <v>549</v>
      </c>
      <c r="G79" s="401">
        <v>187450</v>
      </c>
      <c r="H79" s="402"/>
      <c r="I79" s="403">
        <v>0</v>
      </c>
      <c r="J79" s="367">
        <v>187450</v>
      </c>
      <c r="K79" s="385">
        <v>1</v>
      </c>
    </row>
    <row r="80" spans="1:11" s="391" customFormat="1" ht="147" customHeight="1" x14ac:dyDescent="0.25">
      <c r="A80" s="667">
        <v>1516013</v>
      </c>
      <c r="B80" s="668">
        <v>6013</v>
      </c>
      <c r="C80" s="494" t="s">
        <v>29</v>
      </c>
      <c r="D80" s="612" t="s">
        <v>137</v>
      </c>
      <c r="E80" s="609" t="s">
        <v>608</v>
      </c>
      <c r="F80" s="638" t="s">
        <v>553</v>
      </c>
      <c r="G80" s="401">
        <v>60000</v>
      </c>
      <c r="H80" s="402"/>
      <c r="I80" s="403">
        <v>0</v>
      </c>
      <c r="J80" s="367">
        <v>60000</v>
      </c>
      <c r="K80" s="385">
        <v>1</v>
      </c>
    </row>
    <row r="81" spans="1:11" s="391" customFormat="1" ht="147" customHeight="1" x14ac:dyDescent="0.25">
      <c r="A81" s="667">
        <v>1516013</v>
      </c>
      <c r="B81" s="668">
        <v>6013</v>
      </c>
      <c r="C81" s="494" t="s">
        <v>29</v>
      </c>
      <c r="D81" s="612" t="s">
        <v>137</v>
      </c>
      <c r="E81" s="609" t="s">
        <v>653</v>
      </c>
      <c r="F81" s="638" t="s">
        <v>553</v>
      </c>
      <c r="G81" s="401">
        <v>226222</v>
      </c>
      <c r="H81" s="402"/>
      <c r="I81" s="403">
        <v>0</v>
      </c>
      <c r="J81" s="367">
        <v>226222</v>
      </c>
      <c r="K81" s="385">
        <v>1</v>
      </c>
    </row>
    <row r="82" spans="1:11" s="103" customFormat="1" ht="96" customHeight="1" x14ac:dyDescent="0.25">
      <c r="A82" s="858">
        <v>1516030</v>
      </c>
      <c r="B82" s="847">
        <v>6030</v>
      </c>
      <c r="C82" s="852" t="s">
        <v>29</v>
      </c>
      <c r="D82" s="855" t="s">
        <v>30</v>
      </c>
      <c r="E82" s="400" t="s">
        <v>566</v>
      </c>
      <c r="F82" s="850" t="s">
        <v>558</v>
      </c>
      <c r="G82" s="401">
        <v>3777567</v>
      </c>
      <c r="H82" s="407">
        <f>1516531+H84</f>
        <v>1640341.91</v>
      </c>
      <c r="I82" s="408">
        <f>H82/G82</f>
        <v>0.43423238025956917</v>
      </c>
      <c r="J82" s="382">
        <f>1011118+1104357</f>
        <v>2115475</v>
      </c>
      <c r="K82" s="395">
        <v>1</v>
      </c>
    </row>
    <row r="83" spans="1:11" s="103" customFormat="1" ht="20.25" customHeight="1" x14ac:dyDescent="0.25">
      <c r="A83" s="866"/>
      <c r="B83" s="848"/>
      <c r="C83" s="853"/>
      <c r="D83" s="856"/>
      <c r="E83" s="386" t="s">
        <v>567</v>
      </c>
      <c r="F83" s="883"/>
      <c r="G83" s="387">
        <v>49800</v>
      </c>
      <c r="H83" s="409">
        <v>49763</v>
      </c>
      <c r="I83" s="410">
        <v>1</v>
      </c>
      <c r="J83" s="382"/>
      <c r="K83" s="344">
        <v>1</v>
      </c>
    </row>
    <row r="84" spans="1:11" s="103" customFormat="1" ht="40.5" x14ac:dyDescent="0.25">
      <c r="A84" s="859"/>
      <c r="B84" s="849"/>
      <c r="C84" s="854"/>
      <c r="D84" s="857"/>
      <c r="E84" s="386" t="s">
        <v>568</v>
      </c>
      <c r="F84" s="851"/>
      <c r="G84" s="406">
        <v>140204</v>
      </c>
      <c r="H84" s="406">
        <v>123810.91</v>
      </c>
      <c r="I84" s="410">
        <v>1</v>
      </c>
      <c r="J84" s="382"/>
      <c r="K84" s="344">
        <v>1</v>
      </c>
    </row>
    <row r="85" spans="1:11" s="103" customFormat="1" ht="101.25" x14ac:dyDescent="0.25">
      <c r="A85" s="667">
        <v>1516030</v>
      </c>
      <c r="B85" s="668">
        <v>6030</v>
      </c>
      <c r="C85" s="669" t="s">
        <v>29</v>
      </c>
      <c r="D85" s="670" t="s">
        <v>30</v>
      </c>
      <c r="E85" s="639" t="s">
        <v>609</v>
      </c>
      <c r="F85" s="672" t="s">
        <v>553</v>
      </c>
      <c r="G85" s="382">
        <v>49800</v>
      </c>
      <c r="H85" s="382"/>
      <c r="I85" s="412">
        <v>0</v>
      </c>
      <c r="J85" s="382">
        <v>49800</v>
      </c>
      <c r="K85" s="312">
        <v>1</v>
      </c>
    </row>
    <row r="86" spans="1:11" s="103" customFormat="1" ht="101.25" x14ac:dyDescent="0.25">
      <c r="A86" s="667">
        <v>1516030</v>
      </c>
      <c r="B86" s="668">
        <v>6030</v>
      </c>
      <c r="C86" s="669" t="s">
        <v>29</v>
      </c>
      <c r="D86" s="670" t="s">
        <v>30</v>
      </c>
      <c r="E86" s="639" t="s">
        <v>610</v>
      </c>
      <c r="F86" s="662" t="s">
        <v>553</v>
      </c>
      <c r="G86" s="382">
        <v>500000</v>
      </c>
      <c r="H86" s="382"/>
      <c r="I86" s="412">
        <v>0</v>
      </c>
      <c r="J86" s="382">
        <v>500000</v>
      </c>
      <c r="K86" s="312">
        <v>1</v>
      </c>
    </row>
    <row r="87" spans="1:11" s="103" customFormat="1" ht="116.25" customHeight="1" x14ac:dyDescent="0.25">
      <c r="A87" s="901">
        <v>1516030</v>
      </c>
      <c r="B87" s="852">
        <v>6030</v>
      </c>
      <c r="C87" s="852" t="s">
        <v>29</v>
      </c>
      <c r="D87" s="855" t="s">
        <v>30</v>
      </c>
      <c r="E87" s="411" t="s">
        <v>569</v>
      </c>
      <c r="F87" s="850" t="s">
        <v>570</v>
      </c>
      <c r="G87" s="382">
        <v>3910004</v>
      </c>
      <c r="H87" s="382">
        <v>0</v>
      </c>
      <c r="I87" s="403">
        <v>0</v>
      </c>
      <c r="J87" s="382">
        <f>4003149-93145</f>
        <v>3910004</v>
      </c>
      <c r="K87" s="312">
        <v>1</v>
      </c>
    </row>
    <row r="88" spans="1:11" s="103" customFormat="1" ht="20.25" x14ac:dyDescent="0.25">
      <c r="A88" s="902"/>
      <c r="B88" s="854"/>
      <c r="C88" s="854"/>
      <c r="D88" s="857"/>
      <c r="E88" s="386" t="s">
        <v>552</v>
      </c>
      <c r="F88" s="851"/>
      <c r="G88" s="406">
        <v>174543</v>
      </c>
      <c r="H88" s="406">
        <v>0</v>
      </c>
      <c r="I88" s="410">
        <v>0</v>
      </c>
      <c r="J88" s="406">
        <v>174543</v>
      </c>
      <c r="K88" s="344">
        <v>1</v>
      </c>
    </row>
    <row r="89" spans="1:11" s="103" customFormat="1" ht="188.45" customHeight="1" x14ac:dyDescent="0.25">
      <c r="A89" s="658">
        <v>1516030</v>
      </c>
      <c r="B89" s="656" t="s">
        <v>28</v>
      </c>
      <c r="C89" s="656" t="s">
        <v>29</v>
      </c>
      <c r="D89" s="661" t="s">
        <v>30</v>
      </c>
      <c r="E89" s="640" t="s">
        <v>634</v>
      </c>
      <c r="F89" s="662" t="s">
        <v>553</v>
      </c>
      <c r="G89" s="382">
        <v>406558</v>
      </c>
      <c r="H89" s="382">
        <v>0</v>
      </c>
      <c r="I89" s="412">
        <v>0</v>
      </c>
      <c r="J89" s="382">
        <v>406558</v>
      </c>
      <c r="K89" s="312">
        <v>1</v>
      </c>
    </row>
    <row r="90" spans="1:11" s="103" customFormat="1" ht="141.75" x14ac:dyDescent="0.25">
      <c r="A90" s="897" t="s">
        <v>286</v>
      </c>
      <c r="B90" s="898" t="s">
        <v>287</v>
      </c>
      <c r="C90" s="898" t="s">
        <v>288</v>
      </c>
      <c r="D90" s="899" t="s">
        <v>289</v>
      </c>
      <c r="E90" s="400" t="s">
        <v>571</v>
      </c>
      <c r="F90" s="850" t="s">
        <v>549</v>
      </c>
      <c r="G90" s="401">
        <v>6435596</v>
      </c>
      <c r="H90" s="407">
        <v>3693192</v>
      </c>
      <c r="I90" s="408">
        <f>H90/G90</f>
        <v>0.57386945979828441</v>
      </c>
      <c r="J90" s="382">
        <v>2138727</v>
      </c>
      <c r="K90" s="385">
        <v>1</v>
      </c>
    </row>
    <row r="91" spans="1:11" s="103" customFormat="1" ht="20.25" x14ac:dyDescent="0.25">
      <c r="A91" s="897"/>
      <c r="B91" s="898"/>
      <c r="C91" s="898"/>
      <c r="D91" s="900"/>
      <c r="E91" s="413" t="s">
        <v>572</v>
      </c>
      <c r="F91" s="851"/>
      <c r="G91" s="387">
        <v>169440</v>
      </c>
      <c r="H91" s="409">
        <v>167500</v>
      </c>
      <c r="I91" s="405">
        <v>1</v>
      </c>
      <c r="J91" s="382"/>
      <c r="K91" s="390">
        <v>1</v>
      </c>
    </row>
    <row r="92" spans="1:11" s="103" customFormat="1" ht="162.75" customHeight="1" x14ac:dyDescent="0.25">
      <c r="A92" s="650" t="s">
        <v>286</v>
      </c>
      <c r="B92" s="657" t="s">
        <v>287</v>
      </c>
      <c r="C92" s="657" t="s">
        <v>288</v>
      </c>
      <c r="D92" s="627" t="s">
        <v>289</v>
      </c>
      <c r="E92" s="414" t="s">
        <v>573</v>
      </c>
      <c r="F92" s="669" t="s">
        <v>553</v>
      </c>
      <c r="G92" s="367">
        <v>49800</v>
      </c>
      <c r="H92" s="367">
        <v>0</v>
      </c>
      <c r="I92" s="415">
        <v>0</v>
      </c>
      <c r="J92" s="394">
        <v>49800</v>
      </c>
      <c r="K92" s="395">
        <v>1</v>
      </c>
    </row>
    <row r="93" spans="1:11" s="103" customFormat="1" ht="164.45" customHeight="1" x14ac:dyDescent="0.25">
      <c r="A93" s="650" t="s">
        <v>286</v>
      </c>
      <c r="B93" s="657" t="s">
        <v>287</v>
      </c>
      <c r="C93" s="657" t="s">
        <v>288</v>
      </c>
      <c r="D93" s="627" t="s">
        <v>289</v>
      </c>
      <c r="E93" s="414" t="s">
        <v>574</v>
      </c>
      <c r="F93" s="669" t="s">
        <v>553</v>
      </c>
      <c r="G93" s="367">
        <v>1600000</v>
      </c>
      <c r="H93" s="367">
        <v>0</v>
      </c>
      <c r="I93" s="415">
        <v>0</v>
      </c>
      <c r="J93" s="367">
        <f>1550200-400000</f>
        <v>1150200</v>
      </c>
      <c r="K93" s="395">
        <v>1</v>
      </c>
    </row>
    <row r="94" spans="1:11" s="103" customFormat="1" ht="100.9" customHeight="1" x14ac:dyDescent="0.25">
      <c r="A94" s="903" t="s">
        <v>575</v>
      </c>
      <c r="B94" s="905" t="s">
        <v>576</v>
      </c>
      <c r="C94" s="905" t="s">
        <v>288</v>
      </c>
      <c r="D94" s="907" t="s">
        <v>577</v>
      </c>
      <c r="E94" s="641" t="s">
        <v>635</v>
      </c>
      <c r="F94" s="852" t="s">
        <v>578</v>
      </c>
      <c r="G94" s="367">
        <v>1630569</v>
      </c>
      <c r="H94" s="367">
        <v>120891</v>
      </c>
      <c r="I94" s="415">
        <f>(H94/G94)*100%</f>
        <v>7.4140376764184779E-2</v>
      </c>
      <c r="J94" s="367">
        <v>1501526</v>
      </c>
      <c r="K94" s="395">
        <v>1</v>
      </c>
    </row>
    <row r="95" spans="1:11" s="391" customFormat="1" ht="44.45" customHeight="1" x14ac:dyDescent="0.25">
      <c r="A95" s="904"/>
      <c r="B95" s="906"/>
      <c r="C95" s="906"/>
      <c r="D95" s="908"/>
      <c r="E95" s="642" t="s">
        <v>568</v>
      </c>
      <c r="F95" s="854"/>
      <c r="G95" s="388">
        <v>129043</v>
      </c>
      <c r="H95" s="388">
        <v>120891</v>
      </c>
      <c r="I95" s="416">
        <v>1</v>
      </c>
      <c r="J95" s="388"/>
      <c r="K95" s="399">
        <v>1</v>
      </c>
    </row>
    <row r="96" spans="1:11" s="103" customFormat="1" ht="187.15" customHeight="1" x14ac:dyDescent="0.25">
      <c r="A96" s="663" t="s">
        <v>579</v>
      </c>
      <c r="B96" s="652" t="s">
        <v>580</v>
      </c>
      <c r="C96" s="652" t="s">
        <v>288</v>
      </c>
      <c r="D96" s="665" t="s">
        <v>581</v>
      </c>
      <c r="E96" s="366" t="s">
        <v>582</v>
      </c>
      <c r="F96" s="669" t="s">
        <v>553</v>
      </c>
      <c r="G96" s="368">
        <v>1477980</v>
      </c>
      <c r="H96" s="368">
        <v>0</v>
      </c>
      <c r="I96" s="393">
        <v>0</v>
      </c>
      <c r="J96" s="368">
        <f>1477980-213962</f>
        <v>1264018</v>
      </c>
      <c r="K96" s="370">
        <v>1</v>
      </c>
    </row>
    <row r="97" spans="1:16" s="103" customFormat="1" ht="67.5" hidden="1" customHeight="1" thickBot="1" x14ac:dyDescent="0.3">
      <c r="A97" s="663" t="s">
        <v>579</v>
      </c>
      <c r="B97" s="652" t="s">
        <v>580</v>
      </c>
      <c r="C97" s="652" t="s">
        <v>288</v>
      </c>
      <c r="D97" s="665" t="s">
        <v>581</v>
      </c>
      <c r="E97" s="414" t="s">
        <v>583</v>
      </c>
      <c r="F97" s="669" t="s">
        <v>553</v>
      </c>
      <c r="G97" s="368">
        <f>J97</f>
        <v>0</v>
      </c>
      <c r="H97" s="368">
        <v>0</v>
      </c>
      <c r="I97" s="393">
        <v>0</v>
      </c>
      <c r="J97" s="368">
        <v>0</v>
      </c>
      <c r="K97" s="370">
        <v>1</v>
      </c>
    </row>
    <row r="98" spans="1:16" s="103" customFormat="1" ht="11.45" hidden="1" customHeight="1" x14ac:dyDescent="0.25">
      <c r="A98" s="650" t="s">
        <v>584</v>
      </c>
      <c r="B98" s="651" t="s">
        <v>585</v>
      </c>
      <c r="C98" s="651" t="s">
        <v>178</v>
      </c>
      <c r="D98" s="417" t="s">
        <v>446</v>
      </c>
      <c r="E98" s="392" t="s">
        <v>586</v>
      </c>
      <c r="F98" s="669" t="s">
        <v>553</v>
      </c>
      <c r="G98" s="368">
        <f t="shared" ref="G98" si="0">J98</f>
        <v>0</v>
      </c>
      <c r="H98" s="367">
        <v>0</v>
      </c>
      <c r="I98" s="393">
        <v>0</v>
      </c>
      <c r="J98" s="367">
        <v>0</v>
      </c>
      <c r="K98" s="395">
        <v>1</v>
      </c>
    </row>
    <row r="99" spans="1:16" s="495" customFormat="1" ht="102" customHeight="1" x14ac:dyDescent="0.25">
      <c r="A99" s="903" t="s">
        <v>587</v>
      </c>
      <c r="B99" s="910" t="s">
        <v>140</v>
      </c>
      <c r="C99" s="910" t="s">
        <v>141</v>
      </c>
      <c r="D99" s="913" t="s">
        <v>142</v>
      </c>
      <c r="E99" s="418" t="s">
        <v>636</v>
      </c>
      <c r="F99" s="852" t="s">
        <v>588</v>
      </c>
      <c r="G99" s="368">
        <v>45050824</v>
      </c>
      <c r="H99" s="367">
        <v>2753824</v>
      </c>
      <c r="I99" s="393">
        <v>7.0000000000000007E-2</v>
      </c>
      <c r="J99" s="367">
        <f>6418944-478735-5940209+7000000+531097</f>
        <v>7531097</v>
      </c>
      <c r="K99" s="395">
        <f>(J99+H99)/G99</f>
        <v>0.22829595747238718</v>
      </c>
      <c r="M99" s="727"/>
    </row>
    <row r="100" spans="1:16" s="495" customFormat="1" ht="35.450000000000003" customHeight="1" x14ac:dyDescent="0.25">
      <c r="A100" s="909"/>
      <c r="B100" s="911"/>
      <c r="C100" s="911"/>
      <c r="D100" s="914"/>
      <c r="E100" s="422" t="s">
        <v>552</v>
      </c>
      <c r="F100" s="853"/>
      <c r="G100" s="397">
        <v>169781</v>
      </c>
      <c r="H100" s="388">
        <v>169781</v>
      </c>
      <c r="I100" s="423">
        <v>1</v>
      </c>
      <c r="J100" s="388"/>
      <c r="K100" s="399">
        <v>1</v>
      </c>
    </row>
    <row r="101" spans="1:16" s="495" customFormat="1" ht="43.5" customHeight="1" x14ac:dyDescent="0.25">
      <c r="A101" s="909"/>
      <c r="B101" s="911"/>
      <c r="C101" s="911"/>
      <c r="D101" s="914"/>
      <c r="E101" s="496" t="s">
        <v>568</v>
      </c>
      <c r="F101" s="853"/>
      <c r="G101" s="419">
        <v>1003085</v>
      </c>
      <c r="H101" s="420">
        <v>1003085</v>
      </c>
      <c r="I101" s="421">
        <v>1</v>
      </c>
      <c r="J101" s="420"/>
      <c r="K101" s="604">
        <v>1</v>
      </c>
    </row>
    <row r="102" spans="1:16" s="495" customFormat="1" ht="123" customHeight="1" x14ac:dyDescent="0.25">
      <c r="A102" s="904"/>
      <c r="B102" s="912"/>
      <c r="C102" s="912"/>
      <c r="D102" s="915"/>
      <c r="E102" s="728" t="s">
        <v>654</v>
      </c>
      <c r="F102" s="854"/>
      <c r="G102" s="419">
        <v>10458431</v>
      </c>
      <c r="H102" s="420"/>
      <c r="I102" s="421"/>
      <c r="J102" s="420">
        <v>7531097</v>
      </c>
      <c r="K102" s="604">
        <v>1</v>
      </c>
    </row>
    <row r="103" spans="1:16" s="495" customFormat="1" ht="130.9" customHeight="1" x14ac:dyDescent="0.25">
      <c r="A103" s="650" t="s">
        <v>587</v>
      </c>
      <c r="B103" s="651" t="s">
        <v>140</v>
      </c>
      <c r="C103" s="651" t="s">
        <v>141</v>
      </c>
      <c r="D103" s="654" t="s">
        <v>142</v>
      </c>
      <c r="E103" s="617" t="s">
        <v>637</v>
      </c>
      <c r="F103" s="669" t="s">
        <v>553</v>
      </c>
      <c r="G103" s="368">
        <v>148634</v>
      </c>
      <c r="H103" s="367"/>
      <c r="I103" s="393">
        <v>0</v>
      </c>
      <c r="J103" s="367">
        <v>148634</v>
      </c>
      <c r="K103" s="395">
        <v>1</v>
      </c>
    </row>
    <row r="104" spans="1:16" s="495" customFormat="1" ht="114.6" customHeight="1" x14ac:dyDescent="0.25">
      <c r="A104" s="897" t="s">
        <v>611</v>
      </c>
      <c r="B104" s="917" t="s">
        <v>612</v>
      </c>
      <c r="C104" s="917" t="s">
        <v>239</v>
      </c>
      <c r="D104" s="918" t="s">
        <v>240</v>
      </c>
      <c r="E104" s="640" t="s">
        <v>638</v>
      </c>
      <c r="F104" s="852" t="s">
        <v>553</v>
      </c>
      <c r="G104" s="368">
        <v>4335000</v>
      </c>
      <c r="H104" s="367"/>
      <c r="I104" s="393">
        <v>0</v>
      </c>
      <c r="J104" s="367">
        <f>2042000</f>
        <v>2042000</v>
      </c>
      <c r="K104" s="395">
        <v>0.47</v>
      </c>
      <c r="L104" s="727"/>
    </row>
    <row r="105" spans="1:16" s="495" customFormat="1" ht="27" customHeight="1" thickBot="1" x14ac:dyDescent="0.3">
      <c r="A105" s="897"/>
      <c r="B105" s="917"/>
      <c r="C105" s="917"/>
      <c r="D105" s="913"/>
      <c r="E105" s="496" t="s">
        <v>565</v>
      </c>
      <c r="F105" s="853"/>
      <c r="G105" s="419">
        <v>96000</v>
      </c>
      <c r="H105" s="420"/>
      <c r="I105" s="421">
        <v>0</v>
      </c>
      <c r="J105" s="420">
        <v>96000</v>
      </c>
      <c r="K105" s="604">
        <v>1</v>
      </c>
    </row>
    <row r="106" spans="1:16" s="103" customFormat="1" ht="61.5" customHeight="1" thickBot="1" x14ac:dyDescent="0.3">
      <c r="A106" s="320" t="s">
        <v>214</v>
      </c>
      <c r="B106" s="321" t="s">
        <v>16</v>
      </c>
      <c r="C106" s="594" t="s">
        <v>16</v>
      </c>
      <c r="D106" s="595" t="s">
        <v>215</v>
      </c>
      <c r="E106" s="596">
        <v>0</v>
      </c>
      <c r="F106" s="597"/>
      <c r="G106" s="598"/>
      <c r="H106" s="599"/>
      <c r="I106" s="600"/>
      <c r="J106" s="360">
        <f>J107</f>
        <v>23000</v>
      </c>
      <c r="K106" s="601"/>
    </row>
    <row r="107" spans="1:16" s="103" customFormat="1" ht="60" customHeight="1" x14ac:dyDescent="0.25">
      <c r="A107" s="327" t="s">
        <v>216</v>
      </c>
      <c r="B107" s="328" t="s">
        <v>16</v>
      </c>
      <c r="C107" s="328" t="s">
        <v>16</v>
      </c>
      <c r="D107" s="616" t="s">
        <v>215</v>
      </c>
      <c r="E107" s="424"/>
      <c r="F107" s="649"/>
      <c r="G107" s="425"/>
      <c r="H107" s="426"/>
      <c r="I107" s="427"/>
      <c r="J107" s="364">
        <f>J108</f>
        <v>23000</v>
      </c>
      <c r="K107" s="428"/>
    </row>
    <row r="108" spans="1:16" s="103" customFormat="1" ht="57.75" customHeight="1" thickBot="1" x14ac:dyDescent="0.3">
      <c r="A108" s="335" t="s">
        <v>217</v>
      </c>
      <c r="B108" s="336" t="s">
        <v>46</v>
      </c>
      <c r="C108" s="336" t="s">
        <v>19</v>
      </c>
      <c r="D108" s="613" t="s">
        <v>182</v>
      </c>
      <c r="E108" s="337" t="s">
        <v>540</v>
      </c>
      <c r="F108" s="648"/>
      <c r="G108" s="429"/>
      <c r="H108" s="430"/>
      <c r="I108" s="431"/>
      <c r="J108" s="432">
        <v>23000</v>
      </c>
      <c r="K108" s="433"/>
    </row>
    <row r="109" spans="1:16" ht="21" thickBot="1" x14ac:dyDescent="0.3">
      <c r="A109" s="621" t="s">
        <v>589</v>
      </c>
      <c r="B109" s="292" t="s">
        <v>589</v>
      </c>
      <c r="C109" s="292" t="s">
        <v>589</v>
      </c>
      <c r="D109" s="291" t="s">
        <v>150</v>
      </c>
      <c r="E109" s="605" t="s">
        <v>589</v>
      </c>
      <c r="F109" s="606" t="s">
        <v>589</v>
      </c>
      <c r="G109" s="607" t="s">
        <v>589</v>
      </c>
      <c r="H109" s="607" t="s">
        <v>589</v>
      </c>
      <c r="I109" s="607" t="s">
        <v>589</v>
      </c>
      <c r="J109" s="608">
        <f>J22+J36+J41+J48+J53+J106+J32</f>
        <v>156024779</v>
      </c>
      <c r="K109" s="729" t="s">
        <v>589</v>
      </c>
      <c r="M109" s="434"/>
    </row>
    <row r="110" spans="1:16" ht="20.25" x14ac:dyDescent="0.25">
      <c r="A110" s="435"/>
      <c r="B110" s="436"/>
      <c r="C110" s="436"/>
      <c r="D110" s="437"/>
      <c r="E110" s="438"/>
      <c r="F110" s="439"/>
      <c r="G110" s="440"/>
      <c r="H110" s="440"/>
      <c r="I110" s="440"/>
      <c r="J110" s="441"/>
      <c r="K110" s="442"/>
    </row>
    <row r="111" spans="1:16" s="29" customFormat="1" ht="49.9" customHeight="1" x14ac:dyDescent="0.3">
      <c r="A111" s="916" t="s">
        <v>590</v>
      </c>
      <c r="B111" s="916"/>
      <c r="C111" s="916"/>
      <c r="D111" s="916"/>
      <c r="E111" s="916"/>
      <c r="F111" s="916"/>
      <c r="G111" s="916"/>
      <c r="H111" s="916"/>
      <c r="I111" s="916"/>
      <c r="J111" s="916"/>
      <c r="K111" s="110"/>
      <c r="L111" s="26"/>
      <c r="M111" s="110"/>
      <c r="N111" s="110"/>
      <c r="O111" s="27"/>
      <c r="P111" s="28"/>
    </row>
    <row r="113" spans="1:11" s="20" customFormat="1" ht="20.25" x14ac:dyDescent="0.3">
      <c r="A113" s="443"/>
      <c r="B113" s="443"/>
      <c r="G113" s="444"/>
      <c r="J113" s="445"/>
    </row>
    <row r="114" spans="1:11" s="447" customFormat="1" ht="21" x14ac:dyDescent="0.35">
      <c r="A114" s="446"/>
      <c r="B114" s="446"/>
    </row>
    <row r="115" spans="1:11" s="448" customFormat="1" ht="20.25" x14ac:dyDescent="0.3">
      <c r="B115" s="449"/>
      <c r="C115" s="450"/>
      <c r="E115" s="451"/>
      <c r="F115" s="450"/>
      <c r="G115" s="444"/>
      <c r="H115" s="444"/>
      <c r="I115" s="444"/>
      <c r="J115" s="452"/>
      <c r="K115" s="452"/>
    </row>
    <row r="116" spans="1:11" x14ac:dyDescent="0.25">
      <c r="B116" s="264"/>
      <c r="C116" s="264"/>
      <c r="D116" s="264"/>
      <c r="E116" s="264"/>
      <c r="F116" s="264"/>
      <c r="G116" s="264"/>
      <c r="H116" s="264"/>
      <c r="I116" s="264"/>
      <c r="J116" s="264"/>
      <c r="K116" s="264"/>
    </row>
    <row r="117" spans="1:11" x14ac:dyDescent="0.25">
      <c r="B117" s="264"/>
      <c r="C117" s="264"/>
      <c r="D117" s="264"/>
      <c r="E117" s="264"/>
      <c r="F117" s="264"/>
      <c r="G117" s="264"/>
      <c r="H117" s="264"/>
      <c r="I117" s="264"/>
      <c r="J117" s="264"/>
      <c r="K117" s="264"/>
    </row>
  </sheetData>
  <mergeCells count="87">
    <mergeCell ref="A111:J111"/>
    <mergeCell ref="A104:A105"/>
    <mergeCell ref="B104:B105"/>
    <mergeCell ref="C104:C105"/>
    <mergeCell ref="D104:D105"/>
    <mergeCell ref="F104:F105"/>
    <mergeCell ref="A99:A102"/>
    <mergeCell ref="B99:B102"/>
    <mergeCell ref="C99:C102"/>
    <mergeCell ref="D99:D102"/>
    <mergeCell ref="F99:F102"/>
    <mergeCell ref="A94:A95"/>
    <mergeCell ref="B94:B95"/>
    <mergeCell ref="C94:C95"/>
    <mergeCell ref="D94:D95"/>
    <mergeCell ref="F94:F95"/>
    <mergeCell ref="F87:F88"/>
    <mergeCell ref="A90:A91"/>
    <mergeCell ref="B90:B91"/>
    <mergeCell ref="C90:C91"/>
    <mergeCell ref="D90:D91"/>
    <mergeCell ref="F90:F91"/>
    <mergeCell ref="A87:A88"/>
    <mergeCell ref="B87:B88"/>
    <mergeCell ref="C87:C88"/>
    <mergeCell ref="D87:D88"/>
    <mergeCell ref="A77:A78"/>
    <mergeCell ref="B77:B78"/>
    <mergeCell ref="C77:C78"/>
    <mergeCell ref="D77:D78"/>
    <mergeCell ref="F77:F78"/>
    <mergeCell ref="F59:F60"/>
    <mergeCell ref="A61:A63"/>
    <mergeCell ref="B61:B63"/>
    <mergeCell ref="C61:C63"/>
    <mergeCell ref="D61:D63"/>
    <mergeCell ref="F61:F63"/>
    <mergeCell ref="A59:A60"/>
    <mergeCell ref="B59:B60"/>
    <mergeCell ref="C59:C60"/>
    <mergeCell ref="D59:D60"/>
    <mergeCell ref="J19:J20"/>
    <mergeCell ref="F66:F67"/>
    <mergeCell ref="A82:A84"/>
    <mergeCell ref="B82:B84"/>
    <mergeCell ref="C82:C84"/>
    <mergeCell ref="D82:D84"/>
    <mergeCell ref="F82:F84"/>
    <mergeCell ref="A75:A76"/>
    <mergeCell ref="B75:B76"/>
    <mergeCell ref="C75:C76"/>
    <mergeCell ref="D75:D76"/>
    <mergeCell ref="F75:F76"/>
    <mergeCell ref="A66:A67"/>
    <mergeCell ref="B66:B67"/>
    <mergeCell ref="C66:C67"/>
    <mergeCell ref="D66:D67"/>
    <mergeCell ref="F56:F58"/>
    <mergeCell ref="K19:K20"/>
    <mergeCell ref="I6:J6"/>
    <mergeCell ref="A16:K16"/>
    <mergeCell ref="A17:C17"/>
    <mergeCell ref="D17:K17"/>
    <mergeCell ref="A18:C18"/>
    <mergeCell ref="A19:A20"/>
    <mergeCell ref="B19:B20"/>
    <mergeCell ref="C19:C20"/>
    <mergeCell ref="D19:D20"/>
    <mergeCell ref="E19:E20"/>
    <mergeCell ref="F19:F20"/>
    <mergeCell ref="G19:G20"/>
    <mergeCell ref="H19:H20"/>
    <mergeCell ref="I19:I20"/>
    <mergeCell ref="A71:A72"/>
    <mergeCell ref="B71:B72"/>
    <mergeCell ref="C71:C72"/>
    <mergeCell ref="D71:D72"/>
    <mergeCell ref="A56:A58"/>
    <mergeCell ref="B56:B58"/>
    <mergeCell ref="C56:C58"/>
    <mergeCell ref="D56:D58"/>
    <mergeCell ref="A68:A70"/>
    <mergeCell ref="F68:F70"/>
    <mergeCell ref="F71:F72"/>
    <mergeCell ref="B68:B70"/>
    <mergeCell ref="C68:C70"/>
    <mergeCell ref="D68:D70"/>
  </mergeCells>
  <pageMargins left="0.78740157480314965" right="0.51181102362204722" top="0.74803149606299213" bottom="0.35433070866141736" header="0.31496062992125984" footer="0.31496062992125984"/>
  <pageSetup paperSize="9" scale="57" orientation="landscape" r:id="rId1"/>
  <rowBreaks count="5" manualBreakCount="5">
    <brk id="58" max="10" man="1"/>
    <brk id="74" max="10" man="1"/>
    <brk id="81" max="10" man="1"/>
    <brk id="91" max="10" man="1"/>
    <brk id="96"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9</vt:i4>
      </vt:variant>
    </vt:vector>
  </HeadingPairs>
  <TitlesOfParts>
    <vt:vector size="15" baseType="lpstr">
      <vt:lpstr>дод 1 Доходи</vt:lpstr>
      <vt:lpstr>дод 2 Джерела</vt:lpstr>
      <vt:lpstr>дод 3 Видатки</vt:lpstr>
      <vt:lpstr>дод 4 Трансферти</vt:lpstr>
      <vt:lpstr>дод 5 Програми</vt:lpstr>
      <vt:lpstr>дод 6 Бюджет розвитку</vt:lpstr>
      <vt:lpstr>'дод 1 Доходи'!Заголовки_для_печати</vt:lpstr>
      <vt:lpstr>'дод 3 Видатки'!Заголовки_для_печати</vt:lpstr>
      <vt:lpstr>'дод 5 Програми'!Заголовки_для_печати</vt:lpstr>
      <vt:lpstr>'дод 1 Доходи'!Область_печати</vt:lpstr>
      <vt:lpstr>'дод 2 Джерела'!Область_печати</vt:lpstr>
      <vt:lpstr>'дод 3 Видатки'!Область_печати</vt:lpstr>
      <vt:lpstr>'дод 4 Трансферти'!Область_печати</vt:lpstr>
      <vt:lpstr>'дод 5 Програми'!Область_печати</vt:lpstr>
      <vt:lpstr>'дод 6 Бюджет розвитку'!Область_печати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polzovatel</cp:lastModifiedBy>
  <cp:lastPrinted>2024-10-14T13:02:56Z</cp:lastPrinted>
  <dcterms:created xsi:type="dcterms:W3CDTF">2021-12-17T13:26:15Z</dcterms:created>
  <dcterms:modified xsi:type="dcterms:W3CDTF">2024-10-15T11:34:10Z</dcterms:modified>
</cp:coreProperties>
</file>