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User\Desktop\фін.план 2025\"/>
    </mc:Choice>
  </mc:AlternateContent>
  <xr:revisionPtr revIDLastSave="0" documentId="13_ncr:1_{0408FABD-C4A5-42D2-AED6-65996B17D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r:id="rId2"/>
  </sheets>
  <definedNames>
    <definedName name="_xlnm.Print_Area" localSheetId="1">обсяги!$A$1:$Q$28</definedName>
    <definedName name="_xlnm.Print_Area" localSheetId="0">фин.план!$A$1:$G$122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E23" i="2"/>
  <c r="B23" i="2"/>
  <c r="H10" i="2"/>
  <c r="K11" i="2"/>
  <c r="B10" i="2"/>
  <c r="K10" i="2"/>
  <c r="E10" i="2"/>
  <c r="K21" i="2"/>
  <c r="H21" i="2"/>
  <c r="E21" i="2"/>
  <c r="B21" i="2"/>
  <c r="K17" i="2"/>
  <c r="H17" i="2"/>
  <c r="E17" i="2"/>
  <c r="B17" i="2"/>
  <c r="H15" i="2"/>
  <c r="E15" i="2"/>
  <c r="B15" i="2"/>
  <c r="H14" i="2"/>
  <c r="B14" i="2"/>
  <c r="E13" i="2"/>
  <c r="B13" i="2"/>
  <c r="I26" i="2"/>
  <c r="I9" i="2"/>
  <c r="N21" i="2"/>
  <c r="O21" i="2"/>
  <c r="I11" i="2"/>
  <c r="L23" i="2"/>
  <c r="E12" i="2"/>
  <c r="N19" i="2"/>
  <c r="O19" i="2"/>
  <c r="P19" i="2"/>
  <c r="D12" i="2"/>
  <c r="C12" i="2" l="1"/>
  <c r="G43" i="1" l="1"/>
  <c r="F43" i="1"/>
  <c r="F46" i="1"/>
  <c r="E46" i="1"/>
  <c r="E43" i="1"/>
  <c r="D46" i="1"/>
  <c r="D43" i="1"/>
  <c r="J13" i="2" l="1"/>
  <c r="G13" i="2"/>
  <c r="C23" i="2"/>
  <c r="M11" i="2" l="1"/>
  <c r="J11" i="2"/>
  <c r="G11" i="2"/>
  <c r="P17" i="2"/>
  <c r="M20" i="2" l="1"/>
  <c r="M18" i="2" s="1"/>
  <c r="L20" i="2"/>
  <c r="L18" i="2" s="1"/>
  <c r="K20" i="2"/>
  <c r="K18" i="2" s="1"/>
  <c r="J20" i="2"/>
  <c r="J18" i="2" s="1"/>
  <c r="I20" i="2"/>
  <c r="I18" i="2" s="1"/>
  <c r="H20" i="2"/>
  <c r="H18" i="2" s="1"/>
  <c r="G20" i="2"/>
  <c r="G18" i="2" s="1"/>
  <c r="F20" i="2"/>
  <c r="F18" i="2" s="1"/>
  <c r="E20" i="2"/>
  <c r="E18" i="2" s="1"/>
  <c r="D20" i="2"/>
  <c r="D18" i="2" s="1"/>
  <c r="C20" i="2"/>
  <c r="C18" i="2" s="1"/>
  <c r="B20" i="2"/>
  <c r="B18" i="2" l="1"/>
  <c r="N18" i="2" s="1"/>
  <c r="O20" i="2"/>
  <c r="N20" i="2"/>
  <c r="Q23" i="2"/>
  <c r="Q24" i="2"/>
  <c r="P24" i="2"/>
  <c r="P23" i="2" s="1"/>
  <c r="N24" i="2"/>
  <c r="O18" i="2" l="1"/>
  <c r="Q15" i="2"/>
  <c r="Q14" i="2" l="1"/>
  <c r="T10" i="2" l="1"/>
  <c r="D41" i="1" l="1"/>
  <c r="D39" i="1" l="1"/>
  <c r="Q16" i="2"/>
  <c r="S10" i="2" l="1"/>
  <c r="V10" i="2" l="1"/>
  <c r="U10" i="2"/>
  <c r="D93" i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L11" i="2" l="1"/>
  <c r="F11" i="2"/>
  <c r="T11" i="2"/>
  <c r="T9" i="2" s="1"/>
  <c r="D11" i="2"/>
  <c r="Q11" i="2" s="1"/>
  <c r="C11" i="2"/>
  <c r="Q13" i="2"/>
  <c r="S11" i="2" l="1"/>
  <c r="S9" i="2" s="1"/>
  <c r="P11" i="2"/>
  <c r="E92" i="1"/>
  <c r="F92" i="1"/>
  <c r="G92" i="1"/>
  <c r="D92" i="1"/>
  <c r="C36" i="1"/>
  <c r="C35" i="1"/>
  <c r="P25" i="2"/>
  <c r="O25" i="2"/>
  <c r="N25" i="2"/>
  <c r="O24" i="2"/>
  <c r="O23" i="2"/>
  <c r="O26" i="2" s="1"/>
  <c r="P22" i="2"/>
  <c r="O22" i="2"/>
  <c r="N22" i="2"/>
  <c r="P21" i="2"/>
  <c r="K12" i="2"/>
  <c r="B12" i="2"/>
  <c r="O16" i="2"/>
  <c r="I12" i="2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Q10" i="2"/>
  <c r="P10" i="2"/>
  <c r="H11" i="2"/>
  <c r="H9" i="2" s="1"/>
  <c r="E11" i="2"/>
  <c r="C9" i="2"/>
  <c r="M9" i="2"/>
  <c r="G65" i="1" s="1"/>
  <c r="L9" i="2"/>
  <c r="J9" i="2"/>
  <c r="F65" i="1" s="1"/>
  <c r="G9" i="2"/>
  <c r="D9" i="2"/>
  <c r="O12" i="2" l="1"/>
  <c r="V11" i="2"/>
  <c r="U11" i="2"/>
  <c r="U9" i="2" s="1"/>
  <c r="Q9" i="2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F30" i="1"/>
  <c r="D64" i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N14" i="2"/>
  <c r="P16" i="2"/>
  <c r="E9" i="2"/>
  <c r="E34" i="1" s="1"/>
  <c r="N13" i="2"/>
  <c r="N17" i="2"/>
  <c r="O17" i="2" s="1"/>
  <c r="F9" i="2"/>
  <c r="P9" i="2" s="1"/>
  <c r="K9" i="2"/>
  <c r="C64" i="1" l="1"/>
  <c r="D94" i="1"/>
  <c r="C94" i="1" s="1"/>
  <c r="C37" i="1"/>
  <c r="F31" i="1"/>
  <c r="C65" i="1"/>
  <c r="E26" i="2"/>
  <c r="E29" i="1" s="1"/>
  <c r="D62" i="1"/>
  <c r="O11" i="2"/>
  <c r="K26" i="2"/>
  <c r="G29" i="1" s="1"/>
  <c r="G26" i="1" s="1"/>
  <c r="C26" i="2"/>
  <c r="D30" i="1" s="1"/>
  <c r="D33" i="1"/>
  <c r="F26" i="2"/>
  <c r="E30" i="1" s="1"/>
  <c r="P12" i="2"/>
  <c r="P26" i="2" s="1"/>
  <c r="D50" i="1"/>
  <c r="G51" i="1"/>
  <c r="G48" i="1" s="1"/>
  <c r="G34" i="1"/>
  <c r="G31" i="1" s="1"/>
  <c r="E51" i="1"/>
  <c r="N12" i="2"/>
  <c r="B9" i="2"/>
  <c r="N9" i="2" s="1"/>
  <c r="E91" i="1" l="1"/>
  <c r="C33" i="1"/>
  <c r="D90" i="1"/>
  <c r="B26" i="2"/>
  <c r="D29" i="1" s="1"/>
  <c r="N26" i="2"/>
  <c r="D34" i="1"/>
  <c r="D51" i="1"/>
  <c r="D48" i="1" s="1"/>
  <c r="O9" i="2"/>
  <c r="C29" i="1" l="1"/>
  <c r="D26" i="1"/>
  <c r="D22" i="1"/>
  <c r="D91" i="1"/>
  <c r="D95" i="1" s="1"/>
  <c r="D31" i="1"/>
  <c r="C52" i="1"/>
  <c r="E41" i="1"/>
  <c r="E26" i="1" s="1"/>
  <c r="C26" i="1" s="1"/>
  <c r="F62" i="1" l="1"/>
  <c r="G62" i="1" l="1"/>
  <c r="C62" i="1" s="1"/>
  <c r="E48" i="1" l="1"/>
  <c r="G97" i="1" l="1"/>
  <c r="C97" i="1" s="1"/>
  <c r="C107" i="1" s="1"/>
  <c r="C67" i="1"/>
  <c r="C68" i="1"/>
  <c r="C66" i="1"/>
  <c r="C54" i="1"/>
  <c r="C53" i="1"/>
  <c r="C51" i="1"/>
  <c r="C50" i="1"/>
  <c r="G93" i="1"/>
  <c r="G91" i="1"/>
  <c r="G90" i="1"/>
  <c r="F93" i="1"/>
  <c r="F91" i="1"/>
  <c r="F90" i="1"/>
  <c r="E93" i="1"/>
  <c r="E90" i="1"/>
  <c r="E95" i="1" s="1"/>
  <c r="G95" i="1" l="1"/>
  <c r="F95" i="1"/>
  <c r="C93" i="1"/>
  <c r="F41" i="1"/>
  <c r="F26" i="1" s="1"/>
  <c r="C27" i="1" l="1"/>
  <c r="E22" i="1" l="1"/>
  <c r="E39" i="1"/>
  <c r="C47" i="1" l="1"/>
  <c r="F39" i="1"/>
  <c r="G41" i="1"/>
  <c r="C41" i="1" l="1"/>
  <c r="G39" i="1"/>
  <c r="C39" i="1" s="1"/>
  <c r="G22" i="1" l="1"/>
  <c r="F22" i="1" l="1"/>
  <c r="C22" i="1" s="1"/>
  <c r="F108" i="1" l="1"/>
  <c r="G108" i="1"/>
  <c r="E107" i="1"/>
  <c r="E31" i="1" s="1"/>
  <c r="C31" i="1" s="1"/>
  <c r="G107" i="1"/>
  <c r="E108" i="1"/>
  <c r="F48" i="1"/>
  <c r="C34" i="1"/>
  <c r="C46" i="1"/>
  <c r="C43" i="1"/>
  <c r="C30" i="1"/>
  <c r="C90" i="1" l="1"/>
  <c r="C91" i="1"/>
  <c r="C48" i="1"/>
  <c r="C92" i="1"/>
  <c r="C95" i="1" l="1"/>
</calcChain>
</file>

<file path=xl/sharedStrings.xml><?xml version="1.0" encoding="utf-8"?>
<sst xmlns="http://schemas.openxmlformats.org/spreadsheetml/2006/main" count="206" uniqueCount="163">
  <si>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</si>
  <si>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</si>
  <si>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</si>
  <si>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</si>
  <si>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</si>
  <si>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</si>
  <si>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</si>
  <si>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</si>
  <si>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</si>
  <si>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</si>
  <si>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</si>
  <si>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</si>
  <si>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</si>
  <si>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</si>
  <si>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</si>
  <si>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</si>
  <si>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</si>
  <si>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</si>
  <si>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</si>
  <si>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</si>
  <si>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</si>
  <si>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</si>
  <si>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</si>
  <si>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</si>
  <si>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</si>
  <si>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</si>
  <si>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</si>
  <si>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</si>
  <si>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</si>
  <si>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</si>
  <si>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</si>
  <si>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</si>
  <si>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</si>
  <si>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</si>
  <si>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</si>
  <si>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</si>
  <si>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</si>
  <si>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</si>
  <si>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</si>
  <si>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</si>
  <si>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</si>
  <si>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</si>
  <si>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</si>
  <si>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</si>
  <si>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</si>
  <si>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</si>
  <si>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</si>
  <si>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</si>
  <si>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</si>
  <si>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</si>
  <si>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</si>
  <si>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</si>
  <si>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</si>
  <si>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</si>
  <si>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</si>
  <si>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</si>
  <si>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</si>
  <si>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</si>
  <si>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</si>
  <si>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</si>
  <si>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</si>
  <si>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</si>
  <si>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</si>
  <si>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</si>
  <si>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</si>
  <si>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</si>
  <si>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</si>
  <si>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</si>
  <si>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</si>
  <si>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</si>
  <si>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</si>
  <si>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</si>
  <si>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</si>
  <si>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</si>
  <si>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</si>
  <si>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</si>
  <si>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</si>
  <si>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</si>
  <si>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</si>
  <si>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</si>
  <si>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</si>
  <si>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</si>
  <si>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</si>
  <si>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</si>
  <si>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</si>
  <si>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</si>
  <si>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</si>
  <si>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</si>
  <si>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</si>
  <si>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</si>
  <si>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</si>
  <si>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</si>
  <si>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</si>
  <si>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</si>
  <si>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</si>
  <si>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</si>
  <si>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</si>
  <si>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</si>
  <si>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</si>
  <si>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</si>
  <si>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</si>
  <si>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</si>
  <si>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</si>
  <si>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</si>
  <si>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</si>
  <si>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</si>
  <si>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</si>
  <si>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</si>
  <si>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</si>
  <si>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</si>
  <si>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</si>
  <si>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</si>
  <si>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</si>
  <si>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</si>
  <si>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</si>
  <si>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</si>
  <si>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</si>
  <si>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</si>
  <si>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</si>
  <si>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</si>
  <si>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</si>
  <si>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</si>
  <si>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</si>
  <si>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</si>
  <si>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</si>
  <si>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</si>
  <si>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</si>
  <si>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</si>
  <si>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</si>
  <si>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</si>
  <si>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</si>
  <si>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</si>
  <si>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</si>
  <si>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</si>
  <si>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</si>
  <si>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</si>
  <si>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</si>
  <si>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</si>
  <si>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</si>
  <si>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</si>
  <si>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</si>
  <si>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</si>
  <si>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</si>
  <si>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</si>
  <si>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</si>
  <si>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</si>
  <si>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</si>
  <si>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</si>
  <si>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</si>
  <si>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</si>
  <si>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 xml:space="preserve">Марія ГОРІШНА   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</si>
  <si>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</si>
  <si>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</si>
  <si>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</si>
  <si>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</si>
  <si>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</si>
  <si>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Оплата послуг (крім комунальних)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</si>
  <si>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2025 рік</t>
  </si>
  <si>
    <t>Генеральний  директор</t>
  </si>
  <si>
    <t>136,301,8</t>
  </si>
  <si>
    <t xml:space="preserve">Генеральний  директор  </t>
  </si>
  <si>
    <t>Фінансовий план підприємства на 2025 рік</t>
  </si>
  <si>
    <t>Додаток 
до  проєкту рішення виконавчого комітету Южненської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</si>
</sst>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0" borderId="0" xfId="0" applyNumberFormat="1" applyFont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4" borderId="0" xfId="0" applyFont="1" applyFill="1"/>
    <xf numFmtId="0" fontId="3" fillId="4" borderId="0" xfId="0" applyFont="1" applyFill="1"/>
    <xf numFmtId="0" fontId="10" fillId="0" borderId="0" xfId="0" applyFont="1"/>
    <xf numFmtId="165" fontId="3" fillId="4" borderId="0" xfId="0" applyNumberFormat="1" applyFont="1" applyFill="1"/>
    <xf numFmtId="0" fontId="5" fillId="4" borderId="0" xfId="0" applyFont="1" applyFill="1"/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5" fontId="1" fillId="5" borderId="0" xfId="0" applyNumberFormat="1" applyFont="1" applyFill="1"/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/>
    <xf numFmtId="165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topLeftCell="A92" zoomScaleNormal="100" zoomScaleSheetLayoutView="100" workbookViewId="0">
      <selection activeCell="D108" sqref="D108"/>
    </sheetView>
  </sheetViews>
  <sheetFormatPr defaultColWidth="9.140625" defaultRowHeight="15.75" x14ac:dyDescent="0.25"/>
  <cols>
    <col min="1" max="1" width="34.5703125" style="25" customWidth="1"/>
    <col min="2" max="2" width="12.5703125" style="25" customWidth="1"/>
    <col min="3" max="3" width="17" style="25" customWidth="1"/>
    <col min="4" max="4" width="14.28515625" style="25" bestFit="1" customWidth="1"/>
    <col min="5" max="5" width="13" style="25" customWidth="1"/>
    <col min="6" max="6" width="13.28515625" style="25" customWidth="1"/>
    <col min="7" max="7" width="13.140625" style="25" customWidth="1"/>
    <col min="8" max="8" width="9.140625" style="25"/>
    <col min="9" max="9" width="12.140625" style="25" bestFit="1" customWidth="1"/>
    <col min="10" max="10" width="10.7109375" style="25" bestFit="1" customWidth="1"/>
    <col min="11" max="11" width="15.5703125" style="25" customWidth="1"/>
    <col min="12" max="13" width="10.7109375" style="25" bestFit="1" customWidth="1"/>
    <col min="14" max="16384" width="9.140625" style="25"/>
  </cols>
  <sheetData>
    <row r="1" spans="1:12" ht="48.75" customHeight="1" x14ac:dyDescent="0.25">
      <c r="E1" s="95" t="s">
        <v>162</v>
      </c>
      <c r="F1" s="96"/>
      <c r="G1" s="96"/>
    </row>
    <row r="2" spans="1:12" ht="17.25" customHeight="1" x14ac:dyDescent="0.25">
      <c r="E2" s="96"/>
      <c r="F2" s="96"/>
      <c r="G2" s="96"/>
    </row>
    <row r="3" spans="1:12" ht="40.5" customHeight="1" x14ac:dyDescent="0.3">
      <c r="A3" s="86" t="s">
        <v>161</v>
      </c>
      <c r="B3" s="87"/>
      <c r="C3" s="87"/>
      <c r="D3" s="87"/>
      <c r="E3" s="87"/>
      <c r="F3" s="87"/>
      <c r="G3" s="87"/>
    </row>
    <row r="5" spans="1:12" ht="35.25" customHeight="1" x14ac:dyDescent="0.25">
      <c r="A5" s="93" t="s">
        <v>0</v>
      </c>
      <c r="B5" s="98" t="s">
        <v>85</v>
      </c>
      <c r="C5" s="99"/>
      <c r="D5" s="88" t="s">
        <v>1</v>
      </c>
      <c r="E5" s="97"/>
      <c r="F5" s="97"/>
      <c r="G5" s="89"/>
      <c r="L5" s="25" t="s">
        <v>117</v>
      </c>
    </row>
    <row r="6" spans="1:12" ht="28.5" customHeight="1" x14ac:dyDescent="0.25">
      <c r="A6" s="94"/>
      <c r="B6" s="100"/>
      <c r="C6" s="101"/>
      <c r="D6" s="88" t="s">
        <v>4</v>
      </c>
      <c r="E6" s="89"/>
      <c r="F6" s="88">
        <v>34592230</v>
      </c>
      <c r="G6" s="89"/>
    </row>
    <row r="7" spans="1:12" ht="28.15" customHeight="1" x14ac:dyDescent="0.25">
      <c r="A7" s="26" t="s">
        <v>2</v>
      </c>
      <c r="B7" s="90" t="s">
        <v>3</v>
      </c>
      <c r="C7" s="92"/>
      <c r="D7" s="88" t="s">
        <v>7</v>
      </c>
      <c r="E7" s="89"/>
      <c r="F7" s="88"/>
      <c r="G7" s="89"/>
    </row>
    <row r="8" spans="1:12" ht="26.45" customHeight="1" x14ac:dyDescent="0.25">
      <c r="A8" s="26" t="s">
        <v>5</v>
      </c>
      <c r="B8" s="90" t="s">
        <v>6</v>
      </c>
      <c r="C8" s="92"/>
      <c r="D8" s="88" t="s">
        <v>10</v>
      </c>
      <c r="E8" s="89"/>
      <c r="F8" s="88"/>
      <c r="G8" s="89"/>
    </row>
    <row r="9" spans="1:12" ht="31.9" customHeight="1" x14ac:dyDescent="0.25">
      <c r="A9" s="26" t="s">
        <v>8</v>
      </c>
      <c r="B9" s="90" t="s">
        <v>9</v>
      </c>
      <c r="C9" s="92"/>
      <c r="D9" s="88" t="s">
        <v>11</v>
      </c>
      <c r="E9" s="89"/>
      <c r="F9" s="88" t="s">
        <v>12</v>
      </c>
      <c r="G9" s="89"/>
    </row>
    <row r="10" spans="1:12" ht="19.149999999999999" customHeight="1" x14ac:dyDescent="0.25">
      <c r="A10" s="26" t="s">
        <v>82</v>
      </c>
      <c r="B10" s="90" t="s">
        <v>84</v>
      </c>
      <c r="C10" s="91"/>
      <c r="D10" s="91"/>
      <c r="E10" s="91"/>
      <c r="F10" s="91"/>
      <c r="G10" s="92"/>
    </row>
    <row r="11" spans="1:12" ht="18.600000000000001" customHeight="1" x14ac:dyDescent="0.25">
      <c r="A11" s="26" t="s">
        <v>83</v>
      </c>
      <c r="B11" s="90" t="s">
        <v>13</v>
      </c>
      <c r="C11" s="91"/>
      <c r="D11" s="91"/>
      <c r="E11" s="91"/>
      <c r="F11" s="91"/>
      <c r="G11" s="92"/>
    </row>
    <row r="12" spans="1:12" ht="19.899999999999999" customHeight="1" x14ac:dyDescent="0.25">
      <c r="A12" s="26" t="s">
        <v>14</v>
      </c>
      <c r="B12" s="90" t="s">
        <v>149</v>
      </c>
      <c r="C12" s="91"/>
      <c r="D12" s="91"/>
      <c r="E12" s="91"/>
      <c r="F12" s="91"/>
      <c r="G12" s="92"/>
    </row>
    <row r="14" spans="1:12" ht="8.25" customHeight="1" x14ac:dyDescent="0.25"/>
    <row r="15" spans="1:12" ht="8.25" customHeight="1" x14ac:dyDescent="0.25">
      <c r="A15" s="27"/>
    </row>
    <row r="16" spans="1:12" x14ac:dyDescent="0.25">
      <c r="A16" s="27"/>
      <c r="E16" s="25" t="s">
        <v>81</v>
      </c>
    </row>
    <row r="17" spans="1:9" x14ac:dyDescent="0.25">
      <c r="A17" s="28">
        <v>1</v>
      </c>
      <c r="B17" s="28">
        <v>2</v>
      </c>
      <c r="C17" s="28">
        <v>3</v>
      </c>
      <c r="D17" s="28">
        <v>4</v>
      </c>
      <c r="E17" s="28">
        <v>5</v>
      </c>
      <c r="F17" s="28">
        <v>6</v>
      </c>
      <c r="G17" s="28">
        <v>7</v>
      </c>
    </row>
    <row r="18" spans="1:9" x14ac:dyDescent="0.25">
      <c r="A18" s="85" t="s">
        <v>15</v>
      </c>
      <c r="B18" s="85" t="s">
        <v>16</v>
      </c>
      <c r="C18" s="85" t="s">
        <v>17</v>
      </c>
      <c r="D18" s="85" t="s">
        <v>18</v>
      </c>
      <c r="E18" s="85"/>
      <c r="F18" s="85"/>
      <c r="G18" s="85"/>
    </row>
    <row r="19" spans="1:9" ht="21.75" customHeight="1" x14ac:dyDescent="0.25">
      <c r="A19" s="85"/>
      <c r="B19" s="85"/>
      <c r="C19" s="85"/>
      <c r="D19" s="28" t="s">
        <v>19</v>
      </c>
      <c r="E19" s="28" t="s">
        <v>20</v>
      </c>
      <c r="F19" s="28" t="s">
        <v>21</v>
      </c>
      <c r="G19" s="28" t="s">
        <v>22</v>
      </c>
    </row>
    <row r="20" spans="1:9" x14ac:dyDescent="0.25">
      <c r="A20" s="28">
        <v>1</v>
      </c>
      <c r="B20" s="28">
        <v>2</v>
      </c>
      <c r="C20" s="28">
        <v>3</v>
      </c>
      <c r="D20" s="28">
        <v>4</v>
      </c>
      <c r="E20" s="28">
        <v>5</v>
      </c>
      <c r="F20" s="28">
        <v>6</v>
      </c>
      <c r="G20" s="28">
        <v>7</v>
      </c>
    </row>
    <row r="21" spans="1:9" ht="21.75" customHeight="1" x14ac:dyDescent="0.25">
      <c r="A21" s="85" t="s">
        <v>23</v>
      </c>
      <c r="B21" s="85"/>
      <c r="C21" s="85"/>
      <c r="D21" s="85"/>
      <c r="E21" s="85"/>
      <c r="F21" s="85"/>
      <c r="G21" s="85"/>
    </row>
    <row r="22" spans="1:9" ht="31.5" x14ac:dyDescent="0.25">
      <c r="A22" s="29" t="s">
        <v>24</v>
      </c>
      <c r="B22" s="30" t="s">
        <v>86</v>
      </c>
      <c r="C22" s="31">
        <f>D22+E22+F22+G22</f>
        <v>80031.198999999993</v>
      </c>
      <c r="D22" s="31">
        <f>D26</f>
        <v>20626.612000000001</v>
      </c>
      <c r="E22" s="31">
        <f>E26</f>
        <v>20931.267</v>
      </c>
      <c r="F22" s="31">
        <f t="shared" ref="F22" si="0">F26</f>
        <v>20056.509999999998</v>
      </c>
      <c r="G22" s="31">
        <f>G26</f>
        <v>18416.810000000001</v>
      </c>
    </row>
    <row r="23" spans="1:9" x14ac:dyDescent="0.25">
      <c r="A23" s="29" t="s">
        <v>25</v>
      </c>
      <c r="B23" s="30" t="s">
        <v>87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9" x14ac:dyDescent="0.25">
      <c r="A24" s="29" t="s">
        <v>26</v>
      </c>
      <c r="B24" s="30" t="s">
        <v>88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9" x14ac:dyDescent="0.25">
      <c r="A25" s="29" t="s">
        <v>27</v>
      </c>
      <c r="B25" s="30" t="s">
        <v>89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9" ht="63" x14ac:dyDescent="0.25">
      <c r="A26" s="29" t="s">
        <v>120</v>
      </c>
      <c r="B26" s="30" t="s">
        <v>90</v>
      </c>
      <c r="C26" s="31">
        <f>D26+E26+F26+G26</f>
        <v>80031.198999999993</v>
      </c>
      <c r="D26" s="31">
        <f>D27+D28+D29+D30+D41</f>
        <v>20626.612000000001</v>
      </c>
      <c r="E26" s="31">
        <f>E27+E28+E29+E41+E30</f>
        <v>20931.267</v>
      </c>
      <c r="F26" s="31">
        <f>F27+F28+F29+F41+F30</f>
        <v>20056.509999999998</v>
      </c>
      <c r="G26" s="31">
        <f>G27+G28+G29+G41+G30</f>
        <v>18416.810000000001</v>
      </c>
      <c r="I26" s="32"/>
    </row>
    <row r="27" spans="1:9" ht="32.25" customHeight="1" x14ac:dyDescent="0.25">
      <c r="A27" s="29" t="s">
        <v>28</v>
      </c>
      <c r="B27" s="30" t="s">
        <v>91</v>
      </c>
      <c r="C27" s="31">
        <f>SUM(D27:G27)</f>
        <v>0</v>
      </c>
      <c r="D27" s="31">
        <v>0</v>
      </c>
      <c r="E27" s="31">
        <v>0</v>
      </c>
      <c r="F27" s="31">
        <v>0</v>
      </c>
      <c r="G27" s="31">
        <v>0</v>
      </c>
      <c r="I27" s="32"/>
    </row>
    <row r="28" spans="1:9" s="64" customFormat="1" ht="31.9" hidden="1" customHeight="1" x14ac:dyDescent="0.25">
      <c r="A28" s="62" t="s">
        <v>121</v>
      </c>
      <c r="B28" s="63" t="s">
        <v>92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I28" s="65"/>
    </row>
    <row r="29" spans="1:9" ht="30.75" customHeight="1" x14ac:dyDescent="0.25">
      <c r="A29" s="29" t="s">
        <v>29</v>
      </c>
      <c r="B29" s="30" t="s">
        <v>92</v>
      </c>
      <c r="C29" s="31">
        <f>SUM(D29:G29)</f>
        <v>31065.202000000001</v>
      </c>
      <c r="D29" s="31">
        <f>обсяги!B26</f>
        <v>8394.2440000000006</v>
      </c>
      <c r="E29" s="31">
        <f>обсяги!E26</f>
        <v>8806.8269999999993</v>
      </c>
      <c r="F29" s="31">
        <f>обсяги!H26</f>
        <v>7307.741</v>
      </c>
      <c r="G29" s="31">
        <f>обсяги!K26</f>
        <v>6556.39</v>
      </c>
      <c r="I29" s="32"/>
    </row>
    <row r="30" spans="1:9" ht="28.5" customHeight="1" x14ac:dyDescent="0.25">
      <c r="A30" s="29" t="s">
        <v>30</v>
      </c>
      <c r="B30" s="30" t="s">
        <v>93</v>
      </c>
      <c r="C30" s="31">
        <f>SUM(D30:G30)</f>
        <v>47305.997000000003</v>
      </c>
      <c r="D30" s="31">
        <f>обсяги!C26</f>
        <v>11809.127</v>
      </c>
      <c r="E30" s="31">
        <f>обсяги!F26</f>
        <v>11600.599</v>
      </c>
      <c r="F30" s="31">
        <f>обсяги!I26</f>
        <v>12264.528</v>
      </c>
      <c r="G30" s="31">
        <f>обсяги!L26</f>
        <v>11631.743</v>
      </c>
    </row>
    <row r="31" spans="1:9" ht="34.5" customHeight="1" x14ac:dyDescent="0.25">
      <c r="A31" s="29" t="s">
        <v>31</v>
      </c>
      <c r="B31" s="30" t="s">
        <v>94</v>
      </c>
      <c r="C31" s="31">
        <f>SUM(D31:G31)-0.001</f>
        <v>63149.991999999998</v>
      </c>
      <c r="D31" s="31">
        <f>D33+D34+D37+D36+D107</f>
        <v>16198.521000000001</v>
      </c>
      <c r="E31" s="31">
        <f>E33+E34+E37+E36+E107</f>
        <v>16671.502</v>
      </c>
      <c r="F31" s="31">
        <f>F33+F34+F37+F36+F107</f>
        <v>15693.638999999999</v>
      </c>
      <c r="G31" s="31">
        <f>G33+G34+G37+G36+G107</f>
        <v>14586.331</v>
      </c>
    </row>
    <row r="32" spans="1:9" ht="31.5" x14ac:dyDescent="0.25">
      <c r="A32" s="29" t="s">
        <v>32</v>
      </c>
      <c r="B32" s="49"/>
      <c r="C32" s="50"/>
      <c r="D32" s="50"/>
      <c r="E32" s="50"/>
      <c r="F32" s="50"/>
      <c r="G32" s="50"/>
    </row>
    <row r="33" spans="1:13" ht="18" customHeight="1" x14ac:dyDescent="0.25">
      <c r="A33" s="51" t="s">
        <v>33</v>
      </c>
      <c r="B33" s="30" t="s">
        <v>95</v>
      </c>
      <c r="C33" s="31">
        <f>SUM(D33:G33)</f>
        <v>15530.630999999999</v>
      </c>
      <c r="D33" s="31">
        <f>(обсяги!B12+обсяги!C12)*80%</f>
        <v>5066.4319999999998</v>
      </c>
      <c r="E33" s="31">
        <f>(обсяги!E12+обсяги!F12)*80%</f>
        <v>3723.547</v>
      </c>
      <c r="F33" s="31">
        <f>(обсяги!H12+обсяги!I12)*80%</f>
        <v>3410.9830000000002</v>
      </c>
      <c r="G33" s="31">
        <f>(обсяги!K12+обсяги!L12)*80%</f>
        <v>3329.6689999999999</v>
      </c>
      <c r="I33" s="52"/>
      <c r="J33" s="52"/>
      <c r="K33" s="52"/>
      <c r="L33" s="52"/>
    </row>
    <row r="34" spans="1:13" ht="18" customHeight="1" x14ac:dyDescent="0.25">
      <c r="A34" s="51" t="s">
        <v>34</v>
      </c>
      <c r="B34" s="30" t="s">
        <v>96</v>
      </c>
      <c r="C34" s="31">
        <f t="shared" ref="C34" si="1">SUM(D34:G34)</f>
        <v>45354.188999999998</v>
      </c>
      <c r="D34" s="53">
        <f>(обсяги!B9+обсяги!C9)*80%</f>
        <v>10952.967000000001</v>
      </c>
      <c r="E34" s="54">
        <f>(обсяги!E9+обсяги!F9)*80%</f>
        <v>11220.146000000001</v>
      </c>
      <c r="F34" s="54">
        <f>(обсяги!H9+обсяги!I9)*80%</f>
        <v>12103.534</v>
      </c>
      <c r="G34" s="54">
        <f>(обсяги!K9+обсяги!L9)*80%</f>
        <v>11077.541999999999</v>
      </c>
      <c r="I34" s="32"/>
      <c r="J34" s="32"/>
      <c r="L34" s="52"/>
      <c r="M34" s="52"/>
    </row>
    <row r="35" spans="1:13" ht="31.5" x14ac:dyDescent="0.25">
      <c r="A35" s="51" t="s">
        <v>35</v>
      </c>
      <c r="B35" s="30" t="s">
        <v>97</v>
      </c>
      <c r="C35" s="31">
        <f>SUM(D35:G35)</f>
        <v>0</v>
      </c>
      <c r="D35" s="84">
        <v>0</v>
      </c>
      <c r="E35" s="84">
        <v>0</v>
      </c>
      <c r="F35" s="84">
        <v>0</v>
      </c>
      <c r="G35" s="84">
        <v>0</v>
      </c>
      <c r="L35" s="52"/>
    </row>
    <row r="36" spans="1:13" ht="17.25" customHeight="1" x14ac:dyDescent="0.25">
      <c r="A36" s="51" t="s">
        <v>36</v>
      </c>
      <c r="B36" s="30" t="s">
        <v>98</v>
      </c>
      <c r="C36" s="31">
        <f t="shared" ref="C36" si="2">SUM(D38:G38)</f>
        <v>0</v>
      </c>
      <c r="D36" s="31">
        <v>0</v>
      </c>
      <c r="E36" s="31">
        <v>0</v>
      </c>
      <c r="F36" s="31">
        <v>0</v>
      </c>
      <c r="G36" s="31">
        <v>0</v>
      </c>
      <c r="I36" s="52"/>
      <c r="J36" s="52"/>
      <c r="K36" s="52"/>
      <c r="L36" s="52"/>
    </row>
    <row r="37" spans="1:13" ht="18.75" customHeight="1" x14ac:dyDescent="0.25">
      <c r="A37" s="51" t="s">
        <v>37</v>
      </c>
      <c r="B37" s="30" t="s">
        <v>99</v>
      </c>
      <c r="C37" s="31">
        <f>SUM(D37:G37)+0.001</f>
        <v>716.48699999999997</v>
      </c>
      <c r="D37" s="31">
        <f>обсяги!B18</f>
        <v>179.12200000000001</v>
      </c>
      <c r="E37" s="31">
        <f>обсяги!E18</f>
        <v>179.12200000000001</v>
      </c>
      <c r="F37" s="31">
        <f>обсяги!H18</f>
        <v>179.12200000000001</v>
      </c>
      <c r="G37" s="31">
        <f>обсяги!K18</f>
        <v>179.12</v>
      </c>
      <c r="I37" s="52"/>
      <c r="J37" s="52"/>
      <c r="K37" s="52"/>
      <c r="L37" s="52"/>
    </row>
    <row r="38" spans="1:13" x14ac:dyDescent="0.25">
      <c r="A38" s="29" t="s">
        <v>38</v>
      </c>
      <c r="B38" s="49"/>
      <c r="C38" s="50"/>
      <c r="D38" s="50"/>
      <c r="E38" s="50"/>
      <c r="F38" s="50"/>
      <c r="G38" s="50"/>
    </row>
    <row r="39" spans="1:13" x14ac:dyDescent="0.25">
      <c r="A39" s="51" t="s">
        <v>39</v>
      </c>
      <c r="B39" s="30" t="s">
        <v>100</v>
      </c>
      <c r="C39" s="31">
        <f>D39+E39+F39+G39</f>
        <v>1660</v>
      </c>
      <c r="D39" s="31">
        <f>D41</f>
        <v>423.24099999999999</v>
      </c>
      <c r="E39" s="31">
        <f t="shared" ref="E39:G39" si="3">E41</f>
        <v>523.84100000000001</v>
      </c>
      <c r="F39" s="31">
        <f t="shared" si="3"/>
        <v>484.24099999999999</v>
      </c>
      <c r="G39" s="31">
        <f t="shared" si="3"/>
        <v>228.67699999999999</v>
      </c>
    </row>
    <row r="40" spans="1:13" x14ac:dyDescent="0.25">
      <c r="A40" s="51" t="s">
        <v>40</v>
      </c>
      <c r="B40" s="30" t="s">
        <v>101</v>
      </c>
      <c r="C40" s="31"/>
      <c r="D40" s="31"/>
      <c r="E40" s="31"/>
      <c r="F40" s="31"/>
      <c r="G40" s="31"/>
    </row>
    <row r="41" spans="1:13" ht="21" customHeight="1" x14ac:dyDescent="0.25">
      <c r="A41" s="29" t="s">
        <v>41</v>
      </c>
      <c r="B41" s="30" t="s">
        <v>102</v>
      </c>
      <c r="C41" s="31">
        <f>D41+E41+F41+G41</f>
        <v>1660</v>
      </c>
      <c r="D41" s="31">
        <f>SUM(D43:D47)</f>
        <v>423.24099999999999</v>
      </c>
      <c r="E41" s="31">
        <f>SUM(E43:E47)</f>
        <v>523.84100000000001</v>
      </c>
      <c r="F41" s="31">
        <f>SUM(F43:F47)</f>
        <v>484.24099999999999</v>
      </c>
      <c r="G41" s="31">
        <f t="shared" ref="G41" si="4">SUM(G43:G47)</f>
        <v>228.67699999999999</v>
      </c>
    </row>
    <row r="42" spans="1:13" x14ac:dyDescent="0.25">
      <c r="A42" s="29" t="s">
        <v>42</v>
      </c>
      <c r="B42" s="49"/>
      <c r="C42" s="50"/>
      <c r="D42" s="50"/>
      <c r="E42" s="50"/>
      <c r="F42" s="50"/>
      <c r="G42" s="50"/>
    </row>
    <row r="43" spans="1:13" ht="31.5" x14ac:dyDescent="0.25">
      <c r="A43" s="51" t="s">
        <v>43</v>
      </c>
      <c r="B43" s="30" t="s">
        <v>103</v>
      </c>
      <c r="C43" s="31">
        <f>SUM(D43:G43)</f>
        <v>829.42600000000004</v>
      </c>
      <c r="D43" s="31">
        <f>126.33+90</f>
        <v>216.33</v>
      </c>
      <c r="E43" s="31">
        <f>126.33+100+20</f>
        <v>246.33</v>
      </c>
      <c r="F43" s="31">
        <f>126.33+85+50</f>
        <v>261.33</v>
      </c>
      <c r="G43" s="31">
        <f>126.33+350-285-85.894</f>
        <v>105.43600000000001</v>
      </c>
    </row>
    <row r="44" spans="1:13" ht="17.25" customHeight="1" x14ac:dyDescent="0.25">
      <c r="A44" s="51" t="s">
        <v>44</v>
      </c>
      <c r="B44" s="30" t="s">
        <v>104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13" ht="47.25" x14ac:dyDescent="0.25">
      <c r="A45" s="51" t="s">
        <v>45</v>
      </c>
      <c r="B45" s="30" t="s">
        <v>105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13" ht="23.25" customHeight="1" x14ac:dyDescent="0.25">
      <c r="A46" s="51" t="s">
        <v>46</v>
      </c>
      <c r="B46" s="30" t="s">
        <v>106</v>
      </c>
      <c r="C46" s="31">
        <f>SUM(D46:G46)</f>
        <v>830.57399999999996</v>
      </c>
      <c r="D46" s="31">
        <f>147.011+47-0.365+13.265</f>
        <v>206.911</v>
      </c>
      <c r="E46" s="31">
        <f>147.011+80+70.5-30+10</f>
        <v>277.51100000000002</v>
      </c>
      <c r="F46" s="31">
        <f>147.011+75.9+100-50-50</f>
        <v>222.911</v>
      </c>
      <c r="G46" s="31">
        <v>123.241</v>
      </c>
    </row>
    <row r="47" spans="1:13" ht="30.75" customHeight="1" x14ac:dyDescent="0.25">
      <c r="A47" s="51" t="s">
        <v>119</v>
      </c>
      <c r="B47" s="30" t="s">
        <v>118</v>
      </c>
      <c r="C47" s="31">
        <f>SUM(D47:G47)</f>
        <v>0</v>
      </c>
      <c r="D47" s="31">
        <v>0</v>
      </c>
      <c r="E47" s="31">
        <v>0</v>
      </c>
      <c r="F47" s="31">
        <v>0</v>
      </c>
      <c r="G47" s="31">
        <v>0</v>
      </c>
    </row>
    <row r="48" spans="1:13" ht="32.25" customHeight="1" x14ac:dyDescent="0.25">
      <c r="A48" s="29" t="s">
        <v>107</v>
      </c>
      <c r="B48" s="30" t="s">
        <v>108</v>
      </c>
      <c r="C48" s="31">
        <f>SUM(C50:C54)</f>
        <v>15221.206</v>
      </c>
      <c r="D48" s="31">
        <f>SUM(D50:D54)</f>
        <v>4004.85</v>
      </c>
      <c r="E48" s="31">
        <f>SUM(E50:E54)</f>
        <v>3735.924</v>
      </c>
      <c r="F48" s="31">
        <f t="shared" ref="F48" si="5">SUM(F50:F54)</f>
        <v>3878.63</v>
      </c>
      <c r="G48" s="31">
        <f>SUM(G50:G54)</f>
        <v>3601.8020000000001</v>
      </c>
    </row>
    <row r="49" spans="1:15" ht="31.5" x14ac:dyDescent="0.25">
      <c r="A49" s="29" t="s">
        <v>32</v>
      </c>
      <c r="B49" s="49"/>
      <c r="C49" s="50"/>
      <c r="D49" s="50"/>
      <c r="E49" s="50"/>
      <c r="F49" s="50"/>
      <c r="G49" s="50"/>
    </row>
    <row r="50" spans="1:15" x14ac:dyDescent="0.25">
      <c r="A50" s="51" t="s">
        <v>33</v>
      </c>
      <c r="B50" s="30" t="s">
        <v>109</v>
      </c>
      <c r="C50" s="31">
        <f>SUM(D50:G50)</f>
        <v>3882.6579999999999</v>
      </c>
      <c r="D50" s="55">
        <f>(обсяги!B12+обсяги!C12)*20%</f>
        <v>1266.6079999999999</v>
      </c>
      <c r="E50" s="55">
        <f>(обсяги!E12+обсяги!F12)*20%</f>
        <v>930.88699999999994</v>
      </c>
      <c r="F50" s="55">
        <f>(обсяги!H12+обсяги!I12)*20%</f>
        <v>852.74599999999998</v>
      </c>
      <c r="G50" s="55">
        <f>(обсяги!K12+обсяги!L12)*20%</f>
        <v>832.41700000000003</v>
      </c>
    </row>
    <row r="51" spans="1:15" x14ac:dyDescent="0.25">
      <c r="A51" s="51" t="s">
        <v>34</v>
      </c>
      <c r="B51" s="30" t="s">
        <v>110</v>
      </c>
      <c r="C51" s="31">
        <f>SUM(D51:G51)</f>
        <v>11338.548000000001</v>
      </c>
      <c r="D51" s="31">
        <f>(обсяги!B9+обсяги!C9)*20%</f>
        <v>2738.2420000000002</v>
      </c>
      <c r="E51" s="31">
        <f>(обсяги!E9+обсяги!F9)*20%</f>
        <v>2805.0369999999998</v>
      </c>
      <c r="F51" s="31">
        <f>(обсяги!H9+обсяги!I9)*20%</f>
        <v>3025.884</v>
      </c>
      <c r="G51" s="31">
        <f>(обсяги!K9+обсяги!L9)*20%</f>
        <v>2769.3850000000002</v>
      </c>
      <c r="O51" s="32"/>
    </row>
    <row r="52" spans="1:15" ht="31.5" x14ac:dyDescent="0.25">
      <c r="A52" s="51" t="s">
        <v>35</v>
      </c>
      <c r="B52" s="30" t="s">
        <v>111</v>
      </c>
      <c r="C52" s="56">
        <f>SUM(D52:G52)</f>
        <v>0</v>
      </c>
      <c r="D52" s="55">
        <v>0</v>
      </c>
      <c r="E52" s="55">
        <v>0</v>
      </c>
      <c r="F52" s="55">
        <v>0</v>
      </c>
      <c r="G52" s="55">
        <v>0</v>
      </c>
    </row>
    <row r="53" spans="1:15" x14ac:dyDescent="0.25">
      <c r="A53" s="51" t="s">
        <v>36</v>
      </c>
      <c r="B53" s="30" t="s">
        <v>112</v>
      </c>
      <c r="C53" s="31">
        <f>SUM(D53:G53)</f>
        <v>0</v>
      </c>
      <c r="D53" s="55">
        <v>0</v>
      </c>
      <c r="E53" s="55">
        <v>0</v>
      </c>
      <c r="F53" s="55">
        <v>0</v>
      </c>
      <c r="G53" s="55">
        <v>0</v>
      </c>
    </row>
    <row r="54" spans="1:15" x14ac:dyDescent="0.25">
      <c r="A54" s="51" t="s">
        <v>37</v>
      </c>
      <c r="B54" s="30" t="s">
        <v>113</v>
      </c>
      <c r="C54" s="31">
        <f>SUM(D54:G54)</f>
        <v>0</v>
      </c>
      <c r="D54" s="55">
        <v>0</v>
      </c>
      <c r="E54" s="55">
        <v>0</v>
      </c>
      <c r="F54" s="55">
        <v>0</v>
      </c>
      <c r="G54" s="55">
        <v>0</v>
      </c>
    </row>
    <row r="55" spans="1:15" ht="31.5" x14ac:dyDescent="0.25">
      <c r="A55" s="29" t="s">
        <v>47</v>
      </c>
      <c r="B55" s="30">
        <v>100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15" ht="31.5" x14ac:dyDescent="0.25">
      <c r="A56" s="29" t="s">
        <v>32</v>
      </c>
      <c r="B56" s="49"/>
      <c r="C56" s="50"/>
      <c r="D56" s="50"/>
      <c r="E56" s="50"/>
      <c r="F56" s="50"/>
      <c r="G56" s="50"/>
    </row>
    <row r="57" spans="1:15" x14ac:dyDescent="0.25">
      <c r="A57" s="51" t="s">
        <v>33</v>
      </c>
      <c r="B57" s="30">
        <v>101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15" x14ac:dyDescent="0.25">
      <c r="A58" s="51" t="s">
        <v>34</v>
      </c>
      <c r="B58" s="30">
        <v>102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15" ht="31.5" x14ac:dyDescent="0.25">
      <c r="A59" s="51" t="s">
        <v>35</v>
      </c>
      <c r="B59" s="30">
        <v>103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15" x14ac:dyDescent="0.25">
      <c r="A60" s="51" t="s">
        <v>36</v>
      </c>
      <c r="B60" s="30">
        <v>104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15" x14ac:dyDescent="0.25">
      <c r="A61" s="51" t="s">
        <v>37</v>
      </c>
      <c r="B61" s="30">
        <v>105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15" ht="31.5" x14ac:dyDescent="0.25">
      <c r="A62" s="29" t="s">
        <v>114</v>
      </c>
      <c r="B62" s="30">
        <v>110</v>
      </c>
      <c r="C62" s="31">
        <f>D62+E62+F62+G62</f>
        <v>1660</v>
      </c>
      <c r="D62" s="31">
        <f>D64+D65+D66+D67+D68</f>
        <v>423.24099999999999</v>
      </c>
      <c r="E62" s="31">
        <f>E64+E65+E66+E67+E68</f>
        <v>523.84100000000001</v>
      </c>
      <c r="F62" s="31">
        <f>F64+F65+F66+F67+F68</f>
        <v>484.24099999999999</v>
      </c>
      <c r="G62" s="31">
        <f t="shared" ref="G62" si="6">G64+G65+G66+G67+G68</f>
        <v>228.67699999999999</v>
      </c>
      <c r="I62" s="32"/>
      <c r="J62" s="32"/>
      <c r="K62" s="32"/>
      <c r="L62" s="32"/>
    </row>
    <row r="63" spans="1:15" ht="31.5" x14ac:dyDescent="0.25">
      <c r="A63" s="29" t="s">
        <v>32</v>
      </c>
      <c r="B63" s="49"/>
      <c r="C63" s="50"/>
      <c r="D63" s="50"/>
      <c r="E63" s="50"/>
      <c r="F63" s="50"/>
      <c r="G63" s="50"/>
    </row>
    <row r="64" spans="1:15" x14ac:dyDescent="0.25">
      <c r="A64" s="51" t="s">
        <v>33</v>
      </c>
      <c r="B64" s="30">
        <v>111</v>
      </c>
      <c r="C64" s="31">
        <f>D64+E64+F64+G64</f>
        <v>1167.0360000000001</v>
      </c>
      <c r="D64" s="31">
        <f>обсяги!D12</f>
        <v>300</v>
      </c>
      <c r="E64" s="31">
        <f>обсяги!G12</f>
        <v>400.6</v>
      </c>
      <c r="F64" s="31">
        <f>обсяги!J12</f>
        <v>361</v>
      </c>
      <c r="G64" s="31">
        <f>обсяги!M12</f>
        <v>105.43600000000001</v>
      </c>
      <c r="I64" s="52"/>
    </row>
    <row r="65" spans="1:7" x14ac:dyDescent="0.25">
      <c r="A65" s="51" t="s">
        <v>34</v>
      </c>
      <c r="B65" s="30">
        <v>112</v>
      </c>
      <c r="C65" s="31">
        <f>D65+E65+F65+G65</f>
        <v>492.964</v>
      </c>
      <c r="D65" s="31">
        <f>обсяги!D9</f>
        <v>123.241</v>
      </c>
      <c r="E65" s="31">
        <f>обсяги!G9</f>
        <v>123.241</v>
      </c>
      <c r="F65" s="31">
        <f>обсяги!J9</f>
        <v>123.241</v>
      </c>
      <c r="G65" s="31">
        <f>обсяги!M9</f>
        <v>123.241</v>
      </c>
    </row>
    <row r="66" spans="1:7" ht="31.5" x14ac:dyDescent="0.25">
      <c r="A66" s="51" t="s">
        <v>35</v>
      </c>
      <c r="B66" s="30">
        <v>113</v>
      </c>
      <c r="C66" s="31">
        <f>D66+E66+F66+G66</f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x14ac:dyDescent="0.25">
      <c r="A67" s="51" t="s">
        <v>36</v>
      </c>
      <c r="B67" s="30">
        <v>114</v>
      </c>
      <c r="C67" s="31">
        <f t="shared" ref="C67:C68" si="7">D67+E67+F67+G67</f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x14ac:dyDescent="0.25">
      <c r="A68" s="51" t="s">
        <v>37</v>
      </c>
      <c r="B68" s="30">
        <v>115</v>
      </c>
      <c r="C68" s="31">
        <f t="shared" si="7"/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31.5" x14ac:dyDescent="0.25">
      <c r="A69" s="29" t="s">
        <v>49</v>
      </c>
      <c r="B69" s="49"/>
      <c r="C69" s="50"/>
      <c r="D69" s="50"/>
      <c r="E69" s="50"/>
      <c r="F69" s="50"/>
      <c r="G69" s="50"/>
    </row>
    <row r="70" spans="1:7" x14ac:dyDescent="0.25">
      <c r="A70" s="51" t="s">
        <v>39</v>
      </c>
      <c r="B70" s="30">
        <v>121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x14ac:dyDescent="0.25">
      <c r="A71" s="51" t="s">
        <v>40</v>
      </c>
      <c r="B71" s="30">
        <v>122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x14ac:dyDescent="0.25">
      <c r="A72" s="29" t="s">
        <v>50</v>
      </c>
      <c r="B72" s="30">
        <v>130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x14ac:dyDescent="0.25">
      <c r="A73" s="29" t="s">
        <v>51</v>
      </c>
      <c r="B73" s="30">
        <v>140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x14ac:dyDescent="0.25">
      <c r="A74" s="29" t="s">
        <v>52</v>
      </c>
      <c r="B74" s="30">
        <v>150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x14ac:dyDescent="0.25">
      <c r="A75" s="29" t="s">
        <v>42</v>
      </c>
      <c r="B75" s="49"/>
      <c r="C75" s="50"/>
      <c r="D75" s="50"/>
      <c r="E75" s="50"/>
      <c r="F75" s="50"/>
      <c r="G75" s="50"/>
    </row>
    <row r="76" spans="1:7" ht="29.25" customHeight="1" x14ac:dyDescent="0.25">
      <c r="A76" s="51" t="s">
        <v>53</v>
      </c>
      <c r="B76" s="30">
        <v>152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29.25" customHeight="1" x14ac:dyDescent="0.25">
      <c r="A77" s="51" t="s">
        <v>54</v>
      </c>
      <c r="B77" s="30">
        <v>154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x14ac:dyDescent="0.25">
      <c r="A78" s="29" t="s">
        <v>55</v>
      </c>
      <c r="B78" s="30">
        <v>160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x14ac:dyDescent="0.25">
      <c r="A79" s="29" t="s">
        <v>56</v>
      </c>
      <c r="B79" s="30">
        <v>170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x14ac:dyDescent="0.25">
      <c r="A80" s="29" t="s">
        <v>57</v>
      </c>
      <c r="B80" s="30">
        <v>180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9" ht="47.25" x14ac:dyDescent="0.25">
      <c r="A81" s="29" t="s">
        <v>58</v>
      </c>
      <c r="B81" s="49"/>
      <c r="C81" s="50"/>
      <c r="D81" s="50"/>
      <c r="E81" s="50"/>
      <c r="F81" s="50"/>
      <c r="G81" s="50"/>
    </row>
    <row r="82" spans="1:9" x14ac:dyDescent="0.25">
      <c r="A82" s="51" t="s">
        <v>39</v>
      </c>
      <c r="B82" s="30">
        <v>191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9" x14ac:dyDescent="0.25">
      <c r="A83" s="51" t="s">
        <v>40</v>
      </c>
      <c r="B83" s="30">
        <v>192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9" x14ac:dyDescent="0.25">
      <c r="A84" s="29" t="s">
        <v>59</v>
      </c>
      <c r="B84" s="30">
        <v>200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9" x14ac:dyDescent="0.25">
      <c r="A85" s="29" t="s">
        <v>60</v>
      </c>
      <c r="B85" s="49"/>
      <c r="C85" s="50"/>
      <c r="D85" s="50"/>
      <c r="E85" s="50"/>
      <c r="F85" s="50"/>
      <c r="G85" s="50"/>
    </row>
    <row r="86" spans="1:9" x14ac:dyDescent="0.25">
      <c r="A86" s="51" t="s">
        <v>39</v>
      </c>
      <c r="B86" s="30">
        <v>211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9" x14ac:dyDescent="0.25">
      <c r="A87" s="51" t="s">
        <v>40</v>
      </c>
      <c r="B87" s="30">
        <v>212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9" ht="30" customHeight="1" x14ac:dyDescent="0.25">
      <c r="A88" s="29" t="s">
        <v>61</v>
      </c>
      <c r="B88" s="30">
        <v>220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9" ht="20.25" customHeight="1" x14ac:dyDescent="0.25">
      <c r="A89" s="85" t="s">
        <v>62</v>
      </c>
      <c r="B89" s="85"/>
      <c r="C89" s="85"/>
      <c r="D89" s="85"/>
      <c r="E89" s="85"/>
      <c r="F89" s="85"/>
      <c r="G89" s="85"/>
    </row>
    <row r="90" spans="1:9" x14ac:dyDescent="0.25">
      <c r="A90" s="29" t="s">
        <v>63</v>
      </c>
      <c r="B90" s="33">
        <v>310</v>
      </c>
      <c r="C90" s="31">
        <f>SUM(D90:G90)</f>
        <v>20580.325000000001</v>
      </c>
      <c r="D90" s="31">
        <f>D33+D50+D64</f>
        <v>6633.04</v>
      </c>
      <c r="E90" s="31">
        <f>E33+E50+E64</f>
        <v>5055.0339999999997</v>
      </c>
      <c r="F90" s="31">
        <f>F33+F50+F64</f>
        <v>4624.7290000000003</v>
      </c>
      <c r="G90" s="31">
        <f>G33+G50+G64</f>
        <v>4267.5219999999999</v>
      </c>
    </row>
    <row r="91" spans="1:9" x14ac:dyDescent="0.25">
      <c r="A91" s="29" t="s">
        <v>64</v>
      </c>
      <c r="B91" s="33">
        <v>320</v>
      </c>
      <c r="C91" s="31">
        <f>SUM(D91:G91)</f>
        <v>57185.701000000001</v>
      </c>
      <c r="D91" s="31">
        <f>D34+D51+D65</f>
        <v>13814.45</v>
      </c>
      <c r="E91" s="31">
        <f>E34+E51+E65</f>
        <v>14148.424000000001</v>
      </c>
      <c r="F91" s="31">
        <f t="shared" ref="E91:G93" si="8">F34+F51+F65</f>
        <v>15252.659</v>
      </c>
      <c r="G91" s="31">
        <f t="shared" si="8"/>
        <v>13970.168</v>
      </c>
    </row>
    <row r="92" spans="1:9" x14ac:dyDescent="0.25">
      <c r="A92" s="29" t="s">
        <v>65</v>
      </c>
      <c r="B92" s="33">
        <v>330</v>
      </c>
      <c r="C92" s="31">
        <f t="shared" ref="C92" si="9">SUM(D92:G92)</f>
        <v>0</v>
      </c>
      <c r="D92" s="31">
        <f>D35+D52+D66</f>
        <v>0</v>
      </c>
      <c r="E92" s="31">
        <f t="shared" ref="E92:G92" si="10">E35+E52+E66</f>
        <v>0</v>
      </c>
      <c r="F92" s="31">
        <f t="shared" si="10"/>
        <v>0</v>
      </c>
      <c r="G92" s="31">
        <f t="shared" si="10"/>
        <v>0</v>
      </c>
    </row>
    <row r="93" spans="1:9" x14ac:dyDescent="0.25">
      <c r="A93" s="29" t="s">
        <v>66</v>
      </c>
      <c r="B93" s="33">
        <v>340</v>
      </c>
      <c r="C93" s="31">
        <f>SUM(D93:G93)</f>
        <v>0</v>
      </c>
      <c r="D93" s="31">
        <f>D36+D53+D67</f>
        <v>0</v>
      </c>
      <c r="E93" s="31">
        <f t="shared" si="8"/>
        <v>0</v>
      </c>
      <c r="F93" s="31">
        <f>F36+F53+F67</f>
        <v>0</v>
      </c>
      <c r="G93" s="31">
        <f>G36+G53+G67</f>
        <v>0</v>
      </c>
    </row>
    <row r="94" spans="1:9" x14ac:dyDescent="0.25">
      <c r="A94" s="29" t="s">
        <v>48</v>
      </c>
      <c r="B94" s="33">
        <v>350</v>
      </c>
      <c r="C94" s="31">
        <f>SUM(D94:G94)</f>
        <v>716.48599999999999</v>
      </c>
      <c r="D94" s="31">
        <f>D54+D68+D37</f>
        <v>179.12200000000001</v>
      </c>
      <c r="E94" s="31">
        <f t="shared" ref="E94:G94" si="11">E54+E68+E37</f>
        <v>179.12200000000001</v>
      </c>
      <c r="F94" s="31">
        <f t="shared" si="11"/>
        <v>179.12200000000001</v>
      </c>
      <c r="G94" s="31">
        <f t="shared" si="11"/>
        <v>179.12</v>
      </c>
    </row>
    <row r="95" spans="1:9" x14ac:dyDescent="0.25">
      <c r="A95" s="29" t="s">
        <v>67</v>
      </c>
      <c r="B95" s="33">
        <v>360</v>
      </c>
      <c r="C95" s="31">
        <f>SUM(C90:C94)</f>
        <v>78482.512000000002</v>
      </c>
      <c r="D95" s="31">
        <f>SUM(D90:D94)</f>
        <v>20626.612000000001</v>
      </c>
      <c r="E95" s="31">
        <f>SUM(E90:E94)</f>
        <v>19382.580000000002</v>
      </c>
      <c r="F95" s="31">
        <f>SUM(F90:F94)</f>
        <v>20056.509999999998</v>
      </c>
      <c r="G95" s="31">
        <f>SUM(G90:G94)</f>
        <v>18416.810000000001</v>
      </c>
      <c r="I95" s="32"/>
    </row>
    <row r="96" spans="1:9" ht="24" customHeight="1" x14ac:dyDescent="0.25">
      <c r="A96" s="85" t="s">
        <v>68</v>
      </c>
      <c r="B96" s="85"/>
      <c r="C96" s="85"/>
      <c r="D96" s="85"/>
      <c r="E96" s="85"/>
      <c r="F96" s="85"/>
      <c r="G96" s="85"/>
    </row>
    <row r="97" spans="1:7" x14ac:dyDescent="0.25">
      <c r="A97" s="29" t="s">
        <v>69</v>
      </c>
      <c r="B97" s="33">
        <v>410</v>
      </c>
      <c r="C97" s="34">
        <f>SUM(D97:G97)</f>
        <v>0</v>
      </c>
      <c r="D97" s="34">
        <v>0</v>
      </c>
      <c r="E97" s="34">
        <v>0</v>
      </c>
      <c r="F97" s="34">
        <v>0</v>
      </c>
      <c r="G97" s="34">
        <f>G98</f>
        <v>0</v>
      </c>
    </row>
    <row r="98" spans="1:7" ht="31.5" x14ac:dyDescent="0.25">
      <c r="A98" s="51" t="s">
        <v>70</v>
      </c>
      <c r="B98" s="33">
        <v>411</v>
      </c>
      <c r="C98" s="34">
        <f t="shared" ref="C98:C105" si="12">SUM(D98:G98)</f>
        <v>0</v>
      </c>
      <c r="D98" s="34"/>
      <c r="E98" s="34">
        <v>0</v>
      </c>
      <c r="F98" s="34">
        <v>0</v>
      </c>
      <c r="G98" s="34">
        <v>0</v>
      </c>
    </row>
    <row r="99" spans="1:7" ht="48.75" customHeight="1" x14ac:dyDescent="0.25">
      <c r="A99" s="29" t="s">
        <v>71</v>
      </c>
      <c r="B99" s="33">
        <v>420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</row>
    <row r="100" spans="1:7" ht="31.5" x14ac:dyDescent="0.25">
      <c r="A100" s="51" t="s">
        <v>70</v>
      </c>
      <c r="B100" s="33">
        <v>421</v>
      </c>
      <c r="C100" s="34">
        <f t="shared" si="12"/>
        <v>0</v>
      </c>
      <c r="D100" s="34">
        <v>0</v>
      </c>
      <c r="E100" s="34">
        <v>0</v>
      </c>
      <c r="F100" s="34">
        <v>0</v>
      </c>
      <c r="G100" s="34">
        <v>0</v>
      </c>
    </row>
    <row r="101" spans="1:7" ht="31.5" x14ac:dyDescent="0.25">
      <c r="A101" s="29" t="s">
        <v>72</v>
      </c>
      <c r="B101" s="33">
        <v>430</v>
      </c>
      <c r="C101" s="34">
        <f t="shared" si="12"/>
        <v>0</v>
      </c>
      <c r="D101" s="34">
        <v>0</v>
      </c>
      <c r="E101" s="34">
        <v>0</v>
      </c>
      <c r="F101" s="34">
        <v>0</v>
      </c>
      <c r="G101" s="34">
        <v>0</v>
      </c>
    </row>
    <row r="102" spans="1:7" ht="31.5" x14ac:dyDescent="0.25">
      <c r="A102" s="51" t="s">
        <v>70</v>
      </c>
      <c r="B102" s="33">
        <v>431</v>
      </c>
      <c r="C102" s="34">
        <f t="shared" si="12"/>
        <v>0</v>
      </c>
      <c r="D102" s="34">
        <v>0</v>
      </c>
      <c r="E102" s="34">
        <v>0</v>
      </c>
      <c r="F102" s="34">
        <v>0</v>
      </c>
      <c r="G102" s="34">
        <v>0</v>
      </c>
    </row>
    <row r="103" spans="1:7" ht="31.5" x14ac:dyDescent="0.25">
      <c r="A103" s="29" t="s">
        <v>73</v>
      </c>
      <c r="B103" s="33">
        <v>440</v>
      </c>
      <c r="C103" s="34">
        <f t="shared" si="12"/>
        <v>0</v>
      </c>
      <c r="D103" s="34">
        <v>0</v>
      </c>
      <c r="E103" s="34">
        <v>0</v>
      </c>
      <c r="F103" s="34">
        <v>0</v>
      </c>
      <c r="G103" s="34">
        <v>0</v>
      </c>
    </row>
    <row r="104" spans="1:7" ht="31.5" x14ac:dyDescent="0.25">
      <c r="A104" s="51" t="s">
        <v>70</v>
      </c>
      <c r="B104" s="33">
        <v>441</v>
      </c>
      <c r="C104" s="34">
        <f t="shared" si="12"/>
        <v>0</v>
      </c>
      <c r="D104" s="34">
        <v>0</v>
      </c>
      <c r="E104" s="34">
        <v>0</v>
      </c>
      <c r="F104" s="34">
        <v>0</v>
      </c>
      <c r="G104" s="34">
        <v>0</v>
      </c>
    </row>
    <row r="105" spans="1:7" ht="63" x14ac:dyDescent="0.25">
      <c r="A105" s="29" t="s">
        <v>74</v>
      </c>
      <c r="B105" s="33">
        <v>450</v>
      </c>
      <c r="C105" s="34">
        <f t="shared" si="12"/>
        <v>1548.6869999999999</v>
      </c>
      <c r="D105" s="34">
        <v>0</v>
      </c>
      <c r="E105" s="34">
        <v>1548.6869999999999</v>
      </c>
      <c r="F105" s="34">
        <v>0</v>
      </c>
      <c r="G105" s="34">
        <v>0</v>
      </c>
    </row>
    <row r="106" spans="1:7" ht="31.5" x14ac:dyDescent="0.25">
      <c r="A106" s="51" t="s">
        <v>70</v>
      </c>
      <c r="B106" s="33">
        <v>451</v>
      </c>
      <c r="C106" s="34">
        <f>SUM(D106:G106)</f>
        <v>1548.6869999999999</v>
      </c>
      <c r="D106" s="34">
        <v>0</v>
      </c>
      <c r="E106" s="34">
        <v>1548.6869999999999</v>
      </c>
      <c r="F106" s="34">
        <v>0</v>
      </c>
      <c r="G106" s="34">
        <v>0</v>
      </c>
    </row>
    <row r="107" spans="1:7" ht="31.5" x14ac:dyDescent="0.25">
      <c r="A107" s="57" t="s">
        <v>75</v>
      </c>
      <c r="B107" s="28">
        <v>490</v>
      </c>
      <c r="C107" s="58">
        <f>C97+C99+C101+C103+C105</f>
        <v>1548.6869999999999</v>
      </c>
      <c r="D107" s="59">
        <f>D97+D99+D101+D103+D105</f>
        <v>0</v>
      </c>
      <c r="E107" s="59">
        <f t="shared" ref="E107:G107" si="13">E97+E99+E101+E103+E105</f>
        <v>1548.6869999999999</v>
      </c>
      <c r="F107" s="59">
        <f>F97+F99+F101+F103+F105</f>
        <v>0</v>
      </c>
      <c r="G107" s="59">
        <f t="shared" si="13"/>
        <v>0</v>
      </c>
    </row>
    <row r="108" spans="1:7" ht="47.25" x14ac:dyDescent="0.25">
      <c r="A108" s="51" t="s">
        <v>76</v>
      </c>
      <c r="B108" s="33">
        <v>491</v>
      </c>
      <c r="C108" s="31">
        <f>C98+C100+C102+C104+C106</f>
        <v>1548.6869999999999</v>
      </c>
      <c r="D108" s="34">
        <f>D98+D100+D102+D104+D106</f>
        <v>0</v>
      </c>
      <c r="E108" s="34">
        <f t="shared" ref="E108:G108" si="14">E98+E100+E102+E104+E106</f>
        <v>1548.6869999999999</v>
      </c>
      <c r="F108" s="34">
        <f t="shared" si="14"/>
        <v>0</v>
      </c>
      <c r="G108" s="34">
        <f t="shared" si="14"/>
        <v>0</v>
      </c>
    </row>
    <row r="109" spans="1:7" x14ac:dyDescent="0.25">
      <c r="A109" s="28" t="s">
        <v>77</v>
      </c>
      <c r="B109" s="29"/>
      <c r="C109" s="33"/>
      <c r="D109" s="33"/>
      <c r="E109" s="33"/>
      <c r="F109" s="33"/>
      <c r="G109" s="33"/>
    </row>
    <row r="110" spans="1:7" ht="31.5" x14ac:dyDescent="0.25">
      <c r="A110" s="29" t="s">
        <v>148</v>
      </c>
      <c r="B110" s="33">
        <v>510</v>
      </c>
      <c r="C110" s="60">
        <v>267</v>
      </c>
      <c r="D110" s="60">
        <v>267</v>
      </c>
      <c r="E110" s="60">
        <v>267</v>
      </c>
      <c r="F110" s="60">
        <v>267</v>
      </c>
      <c r="G110" s="60">
        <v>267</v>
      </c>
    </row>
    <row r="111" spans="1:7" ht="31.5" x14ac:dyDescent="0.25">
      <c r="A111" s="29" t="s">
        <v>78</v>
      </c>
      <c r="B111" s="33">
        <v>520</v>
      </c>
      <c r="C111" s="31">
        <v>136301.79999999999</v>
      </c>
      <c r="D111" s="31">
        <v>136301.79999999999</v>
      </c>
      <c r="E111" s="31">
        <v>136301.79999999999</v>
      </c>
      <c r="F111" s="31" t="s">
        <v>159</v>
      </c>
      <c r="G111" s="31">
        <v>136301.79999999999</v>
      </c>
    </row>
    <row r="112" spans="1:7" x14ac:dyDescent="0.25">
      <c r="A112" s="29" t="s">
        <v>79</v>
      </c>
      <c r="B112" s="33">
        <v>530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</row>
    <row r="113" spans="1:7" ht="45.75" customHeight="1" x14ac:dyDescent="0.25">
      <c r="A113" s="29" t="s">
        <v>80</v>
      </c>
      <c r="B113" s="33">
        <v>540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7" hidden="1" x14ac:dyDescent="0.25"/>
    <row r="115" spans="1:7" hidden="1" x14ac:dyDescent="0.25"/>
    <row r="116" spans="1:7" hidden="1" x14ac:dyDescent="0.25"/>
    <row r="117" spans="1:7" s="35" customFormat="1" ht="18.75" hidden="1" x14ac:dyDescent="0.3">
      <c r="A117" s="35" t="s">
        <v>115</v>
      </c>
      <c r="E117" s="35" t="s">
        <v>116</v>
      </c>
    </row>
    <row r="122" spans="1:7" ht="38.25" customHeight="1" x14ac:dyDescent="0.25">
      <c r="A122" s="36" t="s">
        <v>160</v>
      </c>
      <c r="E122" s="25" t="s">
        <v>150</v>
      </c>
    </row>
  </sheetData>
  <mergeCells count="27"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  <mergeCell ref="A89:G89"/>
    <mergeCell ref="A96:G96"/>
    <mergeCell ref="A3:G3"/>
    <mergeCell ref="F7:G7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A5:A6"/>
    <mergeCell ref="B10:G10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2" manualBreakCount="2">
    <brk id="45" max="6" man="1"/>
    <brk id="95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topLeftCell="A7" zoomScale="90" zoomScaleNormal="90" zoomScaleSheetLayoutView="90" workbookViewId="0">
      <selection activeCell="N24" sqref="N24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6.140625" style="2" customWidth="1"/>
    <col min="12" max="12" width="11.7109375" style="2" customWidth="1"/>
    <col min="13" max="13" width="10.28515625" style="2" customWidth="1"/>
    <col min="14" max="14" width="15.28515625" style="12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05" t="s">
        <v>122</v>
      </c>
      <c r="N1" s="105"/>
    </row>
    <row r="2" spans="1:23" ht="21.75" customHeight="1" x14ac:dyDescent="0.25">
      <c r="A2" s="106" t="s">
        <v>123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3" ht="69.75" customHeight="1" x14ac:dyDescent="0.25">
      <c r="A3" s="107" t="s">
        <v>157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3" x14ac:dyDescent="0.25">
      <c r="B4" s="106" t="s">
        <v>124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23" ht="34.5" customHeight="1" x14ac:dyDescent="0.25">
      <c r="A5" s="103" t="s">
        <v>125</v>
      </c>
      <c r="B5" s="109" t="s">
        <v>126</v>
      </c>
      <c r="C5" s="110"/>
      <c r="D5" s="110"/>
      <c r="E5" s="109" t="s">
        <v>127</v>
      </c>
      <c r="F5" s="110"/>
      <c r="G5" s="110"/>
      <c r="H5" s="109" t="s">
        <v>128</v>
      </c>
      <c r="I5" s="110"/>
      <c r="J5" s="110"/>
      <c r="K5" s="111" t="s">
        <v>129</v>
      </c>
      <c r="L5" s="112"/>
      <c r="M5" s="112"/>
      <c r="N5" s="113" t="s">
        <v>130</v>
      </c>
      <c r="O5" s="116" t="s">
        <v>130</v>
      </c>
      <c r="P5" s="116"/>
      <c r="Q5" s="116"/>
    </row>
    <row r="6" spans="1:23" ht="61.5" customHeight="1" x14ac:dyDescent="0.25">
      <c r="A6" s="108"/>
      <c r="B6" s="103" t="s">
        <v>131</v>
      </c>
      <c r="C6" s="103" t="s">
        <v>30</v>
      </c>
      <c r="D6" s="103" t="s">
        <v>41</v>
      </c>
      <c r="E6" s="103" t="s">
        <v>131</v>
      </c>
      <c r="F6" s="103" t="s">
        <v>30</v>
      </c>
      <c r="G6" s="103" t="s">
        <v>41</v>
      </c>
      <c r="H6" s="103" t="s">
        <v>131</v>
      </c>
      <c r="I6" s="103" t="s">
        <v>30</v>
      </c>
      <c r="J6" s="103" t="s">
        <v>41</v>
      </c>
      <c r="K6" s="103" t="s">
        <v>131</v>
      </c>
      <c r="L6" s="103" t="s">
        <v>30</v>
      </c>
      <c r="M6" s="103" t="s">
        <v>41</v>
      </c>
      <c r="N6" s="114"/>
      <c r="O6" s="116"/>
      <c r="P6" s="116"/>
      <c r="Q6" s="116"/>
    </row>
    <row r="7" spans="1:23" ht="81.75" customHeight="1" x14ac:dyDescent="0.25">
      <c r="A7" s="108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15"/>
      <c r="O7" s="18" t="s">
        <v>132</v>
      </c>
      <c r="P7" s="18" t="s">
        <v>133</v>
      </c>
      <c r="Q7" s="18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19"/>
      <c r="P8" s="19"/>
      <c r="Q8" s="19"/>
      <c r="R8" s="21"/>
      <c r="S8" s="43"/>
      <c r="T8" s="43"/>
      <c r="U8" s="43"/>
      <c r="V8" s="43"/>
      <c r="W8" s="43"/>
    </row>
    <row r="9" spans="1:23" s="7" customFormat="1" ht="28.5" x14ac:dyDescent="0.2">
      <c r="A9" s="6" t="s">
        <v>135</v>
      </c>
      <c r="B9" s="66">
        <f>B10+B11</f>
        <v>3861.6120000000001</v>
      </c>
      <c r="C9" s="66">
        <f t="shared" ref="C9:M9" si="0">C10+C11</f>
        <v>9829.5969999999998</v>
      </c>
      <c r="D9" s="66">
        <f t="shared" si="0"/>
        <v>123.241</v>
      </c>
      <c r="E9" s="66">
        <f t="shared" si="0"/>
        <v>4105.4139999999998</v>
      </c>
      <c r="F9" s="66">
        <f t="shared" si="0"/>
        <v>9919.7690000000002</v>
      </c>
      <c r="G9" s="66">
        <f t="shared" si="0"/>
        <v>123.241</v>
      </c>
      <c r="H9" s="66">
        <f t="shared" si="0"/>
        <v>4471.16</v>
      </c>
      <c r="I9" s="66">
        <f>I10+I11</f>
        <v>10658.258</v>
      </c>
      <c r="J9" s="66">
        <f t="shared" si="0"/>
        <v>123.241</v>
      </c>
      <c r="K9" s="66">
        <f t="shared" si="0"/>
        <v>3983.5140000000001</v>
      </c>
      <c r="L9" s="66">
        <f>L10+L11</f>
        <v>9863.4130000000005</v>
      </c>
      <c r="M9" s="66">
        <f t="shared" si="0"/>
        <v>123.241</v>
      </c>
      <c r="N9" s="66">
        <f>SUM(B9:M9)</f>
        <v>57185.701000000001</v>
      </c>
      <c r="O9" s="66">
        <f t="shared" ref="O9:Q10" si="1">B9+E9+H9+K9</f>
        <v>16421.7</v>
      </c>
      <c r="P9" s="66">
        <f>C9+F9+I9+L9-0.001</f>
        <v>40271.036</v>
      </c>
      <c r="Q9" s="66">
        <f>D9+G9+J9+M9</f>
        <v>492.964</v>
      </c>
      <c r="R9" s="20"/>
      <c r="S9" s="44">
        <f>SUM(S10:S11)</f>
        <v>30407.624</v>
      </c>
      <c r="T9" s="44">
        <f t="shared" ref="T9:U9" si="2">SUM(T10:T11)</f>
        <v>3335.4029999999998</v>
      </c>
      <c r="U9" s="45">
        <f t="shared" si="2"/>
        <v>37078.430999999997</v>
      </c>
      <c r="V9" s="46"/>
      <c r="W9" s="46"/>
    </row>
    <row r="10" spans="1:23" x14ac:dyDescent="0.25">
      <c r="A10" s="82" t="s">
        <v>136</v>
      </c>
      <c r="B10" s="67">
        <f>13471.414/4-200-0.002</f>
        <v>3167.8519999999999</v>
      </c>
      <c r="C10" s="67">
        <v>8063.6559999999999</v>
      </c>
      <c r="D10" s="67">
        <v>101.1</v>
      </c>
      <c r="E10" s="67">
        <f>13471.414/4</f>
        <v>3367.8539999999998</v>
      </c>
      <c r="F10" s="67">
        <v>8137.6279999999997</v>
      </c>
      <c r="G10" s="67">
        <v>101.1</v>
      </c>
      <c r="H10" s="67">
        <f>13471.414/4+300+0.038</f>
        <v>3667.8919999999998</v>
      </c>
      <c r="I10" s="67">
        <v>8743.4449999999997</v>
      </c>
      <c r="J10" s="67">
        <v>101.1</v>
      </c>
      <c r="K10" s="67">
        <f>13471.414/4-100</f>
        <v>3267.8539999999998</v>
      </c>
      <c r="L10" s="67">
        <v>8091.3969999999999</v>
      </c>
      <c r="M10" s="67">
        <v>101.1</v>
      </c>
      <c r="N10" s="67">
        <f>SUM(B10:M10)</f>
        <v>46911.978000000003</v>
      </c>
      <c r="O10" s="68">
        <f t="shared" si="1"/>
        <v>13471.451999999999</v>
      </c>
      <c r="P10" s="68">
        <f t="shared" si="1"/>
        <v>33036.125999999997</v>
      </c>
      <c r="Q10" s="68">
        <f t="shared" si="1"/>
        <v>404.4</v>
      </c>
      <c r="R10" s="11"/>
      <c r="S10" s="47">
        <f>C10+F10+I10</f>
        <v>24944.728999999999</v>
      </c>
      <c r="T10" s="48">
        <f>L10/3</f>
        <v>2697.1323333333298</v>
      </c>
      <c r="U10" s="47">
        <f>S10+T10*2</f>
        <v>30338.993999999999</v>
      </c>
      <c r="V10" s="47">
        <f>S10+T10</f>
        <v>27641.861000000001</v>
      </c>
      <c r="W10" s="48"/>
    </row>
    <row r="11" spans="1:23" ht="30" x14ac:dyDescent="0.25">
      <c r="A11" s="82" t="s">
        <v>155</v>
      </c>
      <c r="B11" s="67">
        <f>ROUND(B10*21.9%,3)</f>
        <v>693.76</v>
      </c>
      <c r="C11" s="67">
        <f>ROUND(C10*21.9%,3)</f>
        <v>1765.941</v>
      </c>
      <c r="D11" s="67">
        <f>ROUND(D10*21.9%,3)</f>
        <v>22.140999999999998</v>
      </c>
      <c r="E11" s="67">
        <f>ROUND(E10*21.9%,3)</f>
        <v>737.56</v>
      </c>
      <c r="F11" s="67">
        <f t="shared" ref="F11" si="3">F10*21.9%</f>
        <v>1782.1410000000001</v>
      </c>
      <c r="G11" s="67">
        <f>ROUND(G10*21.9%,3)</f>
        <v>22.140999999999998</v>
      </c>
      <c r="H11" s="67">
        <f>ROUND(H10*21.9%,3)</f>
        <v>803.26800000000003</v>
      </c>
      <c r="I11" s="67">
        <f>I10*21.9%-0.001</f>
        <v>1914.8130000000001</v>
      </c>
      <c r="J11" s="67">
        <f>ROUND(J10*21.9%,3)</f>
        <v>22.140999999999998</v>
      </c>
      <c r="K11" s="67">
        <f>ROUND(K10*21.9%,3)</f>
        <v>715.66</v>
      </c>
      <c r="L11" s="67">
        <f>ROUND(L10*21.9%,3)</f>
        <v>1772.0160000000001</v>
      </c>
      <c r="M11" s="67">
        <f>ROUND(M10*21.9%,3)</f>
        <v>22.140999999999998</v>
      </c>
      <c r="N11" s="67">
        <f>SUM(B11:M11)</f>
        <v>10273.723</v>
      </c>
      <c r="O11" s="67">
        <f t="shared" ref="O11:Q12" si="4">B11+E11+H11+K11</f>
        <v>2950.248</v>
      </c>
      <c r="P11" s="67">
        <f t="shared" si="4"/>
        <v>7234.9110000000001</v>
      </c>
      <c r="Q11" s="67">
        <f t="shared" si="4"/>
        <v>88.563999999999993</v>
      </c>
      <c r="R11" s="11"/>
      <c r="S11" s="47">
        <f>C11+F11+I11</f>
        <v>5462.8950000000004</v>
      </c>
      <c r="T11" s="48">
        <f>I11/3</f>
        <v>638.27099999999996</v>
      </c>
      <c r="U11" s="47">
        <f>S11+T11*2</f>
        <v>6739.4369999999999</v>
      </c>
      <c r="V11" s="47">
        <f>S11+T11</f>
        <v>6101.1660000000002</v>
      </c>
      <c r="W11" s="48"/>
    </row>
    <row r="12" spans="1:23" s="7" customFormat="1" ht="14.25" x14ac:dyDescent="0.2">
      <c r="A12" s="6" t="s">
        <v>63</v>
      </c>
      <c r="B12" s="66">
        <f>B13+B14+B15+B16+B17</f>
        <v>4353.51</v>
      </c>
      <c r="C12" s="66">
        <f>C13+C14+C15+C16+C17</f>
        <v>1979.53</v>
      </c>
      <c r="D12" s="66">
        <f>D13+D14+D15+D16+D17</f>
        <v>300</v>
      </c>
      <c r="E12" s="66">
        <f>E13+E14+E15+E16+E17</f>
        <v>2973.6039999999998</v>
      </c>
      <c r="F12" s="66">
        <f t="shared" ref="F12:L12" si="5">F13+F14+F15+F16+F17</f>
        <v>1680.83</v>
      </c>
      <c r="G12" s="66">
        <f t="shared" si="5"/>
        <v>400.6</v>
      </c>
      <c r="H12" s="66">
        <f t="shared" si="5"/>
        <v>2657.4589999999998</v>
      </c>
      <c r="I12" s="66">
        <f t="shared" si="5"/>
        <v>1606.27</v>
      </c>
      <c r="J12" s="66">
        <f t="shared" si="5"/>
        <v>361</v>
      </c>
      <c r="K12" s="66">
        <f t="shared" si="5"/>
        <v>2393.7559999999999</v>
      </c>
      <c r="L12" s="66">
        <f t="shared" si="5"/>
        <v>1768.33</v>
      </c>
      <c r="M12" s="66">
        <f>M13+M14+M15+M16+M17</f>
        <v>105.43600000000001</v>
      </c>
      <c r="N12" s="66">
        <f t="shared" ref="N12:N22" si="6">SUM(B12:M12)</f>
        <v>20580.325000000001</v>
      </c>
      <c r="O12" s="69">
        <f>B12+E12+H12+K12</f>
        <v>12378.329</v>
      </c>
      <c r="P12" s="70">
        <f t="shared" si="4"/>
        <v>7034.96</v>
      </c>
      <c r="Q12" s="70">
        <f t="shared" si="4"/>
        <v>1167.0360000000001</v>
      </c>
      <c r="R12" s="20"/>
      <c r="S12" s="44"/>
      <c r="T12" s="46"/>
      <c r="U12" s="46"/>
      <c r="V12" s="46"/>
      <c r="W12" s="46"/>
    </row>
    <row r="13" spans="1:23" ht="36.75" customHeight="1" x14ac:dyDescent="0.25">
      <c r="A13" s="82" t="s">
        <v>154</v>
      </c>
      <c r="B13" s="67">
        <f>1227.048/2</f>
        <v>613.524</v>
      </c>
      <c r="C13" s="67">
        <v>1278.68</v>
      </c>
      <c r="D13" s="67">
        <v>200</v>
      </c>
      <c r="E13" s="67">
        <f>1227.048/2</f>
        <v>613.524</v>
      </c>
      <c r="F13" s="67">
        <v>264.14999999999998</v>
      </c>
      <c r="G13" s="67">
        <f>218.6</f>
        <v>218.6</v>
      </c>
      <c r="H13" s="67">
        <v>0</v>
      </c>
      <c r="I13" s="67">
        <v>315.54000000000002</v>
      </c>
      <c r="J13" s="67">
        <f>145</f>
        <v>145</v>
      </c>
      <c r="K13" s="67">
        <v>0</v>
      </c>
      <c r="L13" s="67">
        <v>332.73</v>
      </c>
      <c r="M13" s="67">
        <v>19.436</v>
      </c>
      <c r="N13" s="67">
        <f t="shared" si="6"/>
        <v>4001.1840000000002</v>
      </c>
      <c r="O13" s="67">
        <f>B13+E13+H13+K13</f>
        <v>1227.048</v>
      </c>
      <c r="P13" s="67">
        <f t="shared" ref="P13:P16" si="7">C13+F13+I13+L13</f>
        <v>2191.1</v>
      </c>
      <c r="Q13" s="67">
        <f>D13+G13+J13+M13</f>
        <v>583.03599999999994</v>
      </c>
      <c r="R13" s="11"/>
      <c r="S13" s="47"/>
      <c r="T13" s="48"/>
      <c r="U13" s="48"/>
      <c r="V13" s="48"/>
      <c r="W13" s="48"/>
    </row>
    <row r="14" spans="1:23" ht="30" x14ac:dyDescent="0.25">
      <c r="A14" s="82" t="s">
        <v>153</v>
      </c>
      <c r="B14" s="67">
        <f>590.757/2</f>
        <v>295.37900000000002</v>
      </c>
      <c r="C14" s="67">
        <v>99.97</v>
      </c>
      <c r="D14" s="67"/>
      <c r="E14" s="67"/>
      <c r="F14" s="67">
        <v>616.05999999999995</v>
      </c>
      <c r="G14" s="67">
        <v>70</v>
      </c>
      <c r="H14" s="67">
        <f>590.757/2-0.001</f>
        <v>295.37799999999999</v>
      </c>
      <c r="I14" s="67">
        <v>622.97</v>
      </c>
      <c r="J14" s="67"/>
      <c r="K14" s="67"/>
      <c r="L14" s="67">
        <v>758</v>
      </c>
      <c r="M14" s="67"/>
      <c r="N14" s="67">
        <f t="shared" si="6"/>
        <v>2757.7570000000001</v>
      </c>
      <c r="O14" s="67">
        <f t="shared" ref="O14:O16" si="8">B14+E14+H14+K14</f>
        <v>590.75699999999995</v>
      </c>
      <c r="P14" s="67">
        <f t="shared" si="7"/>
        <v>2097</v>
      </c>
      <c r="Q14" s="67">
        <f>D14+G14+J14+M14</f>
        <v>70</v>
      </c>
      <c r="R14" s="24"/>
    </row>
    <row r="15" spans="1:23" ht="20.25" customHeight="1" x14ac:dyDescent="0.25">
      <c r="A15" s="82" t="s">
        <v>137</v>
      </c>
      <c r="B15" s="67">
        <f>3752.551/3-200</f>
        <v>1050.8499999999999</v>
      </c>
      <c r="C15" s="67">
        <v>12.27</v>
      </c>
      <c r="D15" s="67">
        <v>36</v>
      </c>
      <c r="E15" s="67">
        <f>3752.551/3</f>
        <v>1250.8499999999999</v>
      </c>
      <c r="F15" s="67">
        <v>16.43</v>
      </c>
      <c r="G15" s="67">
        <v>36</v>
      </c>
      <c r="H15" s="67">
        <f>3752.551/3+200+0.001</f>
        <v>1450.8510000000001</v>
      </c>
      <c r="I15" s="67">
        <v>35.22</v>
      </c>
      <c r="J15" s="67">
        <v>36</v>
      </c>
      <c r="K15" s="67">
        <v>0</v>
      </c>
      <c r="L15" s="67">
        <v>35.21</v>
      </c>
      <c r="M15" s="67">
        <v>36</v>
      </c>
      <c r="N15" s="67">
        <f t="shared" si="6"/>
        <v>3995.681</v>
      </c>
      <c r="O15" s="67">
        <f t="shared" si="8"/>
        <v>3752.5509999999999</v>
      </c>
      <c r="P15" s="67">
        <f t="shared" si="7"/>
        <v>99.13</v>
      </c>
      <c r="Q15" s="67">
        <f>D15+G15+J15+M15</f>
        <v>144</v>
      </c>
      <c r="R15" s="11"/>
    </row>
    <row r="16" spans="1:23" ht="34.9" customHeight="1" x14ac:dyDescent="0.25">
      <c r="A16" s="82" t="s">
        <v>156</v>
      </c>
      <c r="B16" s="67">
        <v>0</v>
      </c>
      <c r="C16" s="67">
        <v>588.61</v>
      </c>
      <c r="D16" s="67">
        <v>64</v>
      </c>
      <c r="E16" s="67">
        <v>198</v>
      </c>
      <c r="F16" s="67">
        <v>784.19</v>
      </c>
      <c r="G16" s="67">
        <v>76</v>
      </c>
      <c r="H16" s="67"/>
      <c r="I16" s="67">
        <v>632.54</v>
      </c>
      <c r="J16" s="67">
        <v>180</v>
      </c>
      <c r="K16" s="67"/>
      <c r="L16" s="67">
        <v>642.39</v>
      </c>
      <c r="M16" s="67">
        <v>50</v>
      </c>
      <c r="N16" s="67">
        <f t="shared" si="6"/>
        <v>3215.73</v>
      </c>
      <c r="O16" s="67">
        <f t="shared" si="8"/>
        <v>198</v>
      </c>
      <c r="P16" s="67">
        <f t="shared" si="7"/>
        <v>2647.73</v>
      </c>
      <c r="Q16" s="71">
        <f>D16+G16+J16+M16</f>
        <v>370</v>
      </c>
      <c r="R16" s="11"/>
      <c r="S16" s="11"/>
    </row>
    <row r="17" spans="1:20" s="39" customFormat="1" ht="30.6" customHeight="1" x14ac:dyDescent="0.25">
      <c r="A17" s="82" t="s">
        <v>152</v>
      </c>
      <c r="B17" s="67">
        <f>(2965.053/2+423.988/4+3108.682/4+43.512/4+68.738/4)</f>
        <v>2393.7570000000001</v>
      </c>
      <c r="C17" s="67"/>
      <c r="D17" s="67"/>
      <c r="E17" s="67">
        <f>(423.988/4+3108.682/4+43.512/4+68.738/4)</f>
        <v>911.23</v>
      </c>
      <c r="F17" s="67"/>
      <c r="G17" s="67"/>
      <c r="H17" s="67">
        <f>(423.988/4+3108.682/4+43.512/4+68.738/4)</f>
        <v>911.23</v>
      </c>
      <c r="I17" s="67"/>
      <c r="J17" s="67"/>
      <c r="K17" s="67">
        <f>(2965.053/2+423.988/4+3108.682/4+43.512/4+68.738/4)-0.001</f>
        <v>2393.7559999999999</v>
      </c>
      <c r="L17" s="67"/>
      <c r="M17" s="67"/>
      <c r="N17" s="67">
        <f t="shared" si="6"/>
        <v>6609.973</v>
      </c>
      <c r="O17" s="67">
        <f>N17</f>
        <v>6609.973</v>
      </c>
      <c r="P17" s="67">
        <f>C17+F17+I17+L17</f>
        <v>0</v>
      </c>
      <c r="Q17" s="72"/>
      <c r="R17" s="41"/>
    </row>
    <row r="18" spans="1:20" s="42" customFormat="1" ht="42.75" x14ac:dyDescent="0.25">
      <c r="A18" s="6" t="s">
        <v>138</v>
      </c>
      <c r="B18" s="66">
        <f>B20+B19+B22</f>
        <v>179.12200000000001</v>
      </c>
      <c r="C18" s="66">
        <f>C20+C19</f>
        <v>0</v>
      </c>
      <c r="D18" s="66">
        <f>D20+D19+D22</f>
        <v>0</v>
      </c>
      <c r="E18" s="66">
        <f>E20+E19+E22</f>
        <v>179.12200000000001</v>
      </c>
      <c r="F18" s="66">
        <f>F20+F19+F22</f>
        <v>0</v>
      </c>
      <c r="G18" s="66">
        <f>G20+G19+G22</f>
        <v>0</v>
      </c>
      <c r="H18" s="66">
        <f>H20+H19</f>
        <v>179.12200000000001</v>
      </c>
      <c r="I18" s="66">
        <f>I20+I19</f>
        <v>0</v>
      </c>
      <c r="J18" s="66">
        <f>J20+J19+J22</f>
        <v>0</v>
      </c>
      <c r="K18" s="66">
        <f>K20+K19</f>
        <v>179.12</v>
      </c>
      <c r="L18" s="66">
        <f>L20+L19</f>
        <v>0</v>
      </c>
      <c r="M18" s="66">
        <f>M20+M19+M22</f>
        <v>0</v>
      </c>
      <c r="N18" s="66">
        <f>SUM(B18:M18)</f>
        <v>716.48599999999999</v>
      </c>
      <c r="O18" s="66">
        <f>B18+E18+H18+K18+0.001</f>
        <v>716.48699999999997</v>
      </c>
      <c r="P18" s="66">
        <f>C18+F18+I18+L18</f>
        <v>0</v>
      </c>
      <c r="Q18" s="73"/>
      <c r="R18" s="41"/>
    </row>
    <row r="19" spans="1:20" s="40" customFormat="1" hidden="1" x14ac:dyDescent="0.25">
      <c r="A19" s="83" t="s">
        <v>139</v>
      </c>
      <c r="B19" s="74">
        <v>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>
        <f t="shared" si="6"/>
        <v>0</v>
      </c>
      <c r="O19" s="75">
        <f t="shared" ref="O19:P25" si="9">B19+E19+H19+K19</f>
        <v>0</v>
      </c>
      <c r="P19" s="76">
        <f t="shared" si="9"/>
        <v>0</v>
      </c>
      <c r="Q19" s="77"/>
    </row>
    <row r="20" spans="1:20" s="38" customFormat="1" ht="23.25" customHeight="1" x14ac:dyDescent="0.25">
      <c r="A20" s="8" t="s">
        <v>140</v>
      </c>
      <c r="B20" s="78">
        <f t="shared" ref="B20:M20" si="10">B21</f>
        <v>179.12200000000001</v>
      </c>
      <c r="C20" s="78">
        <f t="shared" si="10"/>
        <v>0</v>
      </c>
      <c r="D20" s="78">
        <f t="shared" si="10"/>
        <v>0</v>
      </c>
      <c r="E20" s="78">
        <f t="shared" si="10"/>
        <v>179.12200000000001</v>
      </c>
      <c r="F20" s="78">
        <f t="shared" si="10"/>
        <v>0</v>
      </c>
      <c r="G20" s="78">
        <f t="shared" si="10"/>
        <v>0</v>
      </c>
      <c r="H20" s="78">
        <f t="shared" si="10"/>
        <v>179.12200000000001</v>
      </c>
      <c r="I20" s="78">
        <f t="shared" si="10"/>
        <v>0</v>
      </c>
      <c r="J20" s="78">
        <f t="shared" si="10"/>
        <v>0</v>
      </c>
      <c r="K20" s="78">
        <f t="shared" si="10"/>
        <v>179.12</v>
      </c>
      <c r="L20" s="78">
        <f t="shared" si="10"/>
        <v>0</v>
      </c>
      <c r="M20" s="78">
        <f t="shared" si="10"/>
        <v>0</v>
      </c>
      <c r="N20" s="78">
        <f>SUM(B20:M20)</f>
        <v>716.48599999999999</v>
      </c>
      <c r="O20" s="67">
        <f>B20+E20+H20+K20</f>
        <v>716.48599999999999</v>
      </c>
      <c r="P20" s="66">
        <f t="shared" si="9"/>
        <v>0</v>
      </c>
      <c r="Q20" s="79"/>
    </row>
    <row r="21" spans="1:20" s="39" customFormat="1" ht="28.15" customHeight="1" x14ac:dyDescent="0.25">
      <c r="A21" s="82" t="s">
        <v>151</v>
      </c>
      <c r="B21" s="67">
        <f>716.486/4</f>
        <v>179.12200000000001</v>
      </c>
      <c r="C21" s="67"/>
      <c r="D21" s="67"/>
      <c r="E21" s="67">
        <f>716.486/4</f>
        <v>179.12200000000001</v>
      </c>
      <c r="F21" s="67"/>
      <c r="G21" s="67"/>
      <c r="H21" s="67">
        <f>716.486/4</f>
        <v>179.12200000000001</v>
      </c>
      <c r="I21" s="67"/>
      <c r="J21" s="67"/>
      <c r="K21" s="67">
        <f>716.486/4-0.002</f>
        <v>179.12</v>
      </c>
      <c r="L21" s="67"/>
      <c r="M21" s="67"/>
      <c r="N21" s="67">
        <f>SUM(B21:M21)</f>
        <v>716.48599999999999</v>
      </c>
      <c r="O21" s="67">
        <f>B21+E21+H21+K21</f>
        <v>716.48599999999999</v>
      </c>
      <c r="P21" s="66">
        <f t="shared" si="9"/>
        <v>0</v>
      </c>
      <c r="Q21" s="72"/>
    </row>
    <row r="22" spans="1:20" ht="19.5" customHeight="1" x14ac:dyDescent="0.25">
      <c r="A22" s="6" t="s">
        <v>141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>
        <f t="shared" si="6"/>
        <v>0</v>
      </c>
      <c r="O22" s="67">
        <f t="shared" si="9"/>
        <v>0</v>
      </c>
      <c r="P22" s="66">
        <f t="shared" si="9"/>
        <v>0</v>
      </c>
      <c r="Q22" s="72"/>
    </row>
    <row r="23" spans="1:20" s="9" customFormat="1" ht="33" customHeight="1" x14ac:dyDescent="0.3">
      <c r="A23" s="6" t="s">
        <v>142</v>
      </c>
      <c r="B23" s="66">
        <f>B25</f>
        <v>0</v>
      </c>
      <c r="C23" s="66">
        <f>C24</f>
        <v>0</v>
      </c>
      <c r="D23" s="78"/>
      <c r="E23" s="78">
        <f>E25</f>
        <v>1548.6869999999999</v>
      </c>
      <c r="F23" s="78"/>
      <c r="G23" s="78"/>
      <c r="H23" s="66"/>
      <c r="I23" s="78"/>
      <c r="J23" s="78"/>
      <c r="K23" s="78"/>
      <c r="L23" s="78">
        <f>L24</f>
        <v>0</v>
      </c>
      <c r="M23" s="78"/>
      <c r="N23" s="66">
        <f>N25</f>
        <v>1548.6869999999999</v>
      </c>
      <c r="O23" s="67">
        <f t="shared" si="9"/>
        <v>1548.6869999999999</v>
      </c>
      <c r="P23" s="66">
        <f>P24</f>
        <v>0</v>
      </c>
      <c r="Q23" s="66">
        <f>D23+G23+J23+M23</f>
        <v>0</v>
      </c>
      <c r="R23" s="23"/>
      <c r="S23" s="37"/>
      <c r="T23" s="37"/>
    </row>
    <row r="24" spans="1:20" s="9" customFormat="1" ht="50.25" customHeight="1" x14ac:dyDescent="0.25">
      <c r="A24" s="8" t="s">
        <v>143</v>
      </c>
      <c r="B24" s="78"/>
      <c r="C24" s="67">
        <v>0</v>
      </c>
      <c r="D24" s="78"/>
      <c r="E24" s="78"/>
      <c r="F24" s="78"/>
      <c r="G24" s="78"/>
      <c r="H24" s="78"/>
      <c r="I24" s="78"/>
      <c r="J24" s="78"/>
      <c r="K24" s="78"/>
      <c r="L24" s="78">
        <v>0</v>
      </c>
      <c r="M24" s="78"/>
      <c r="N24" s="66">
        <f>SUM(B24:M24)</f>
        <v>0</v>
      </c>
      <c r="O24" s="67">
        <f t="shared" si="9"/>
        <v>0</v>
      </c>
      <c r="P24" s="66">
        <f>C24+F24+I24+L24</f>
        <v>0</v>
      </c>
      <c r="Q24" s="80">
        <f>D24+G24+J24+M24</f>
        <v>0</v>
      </c>
    </row>
    <row r="25" spans="1:20" s="9" customFormat="1" ht="25.5" customHeight="1" x14ac:dyDescent="0.25">
      <c r="A25" s="8" t="s">
        <v>144</v>
      </c>
      <c r="B25" s="78">
        <v>0</v>
      </c>
      <c r="C25" s="78"/>
      <c r="D25" s="78"/>
      <c r="E25" s="78">
        <v>1548.6869999999999</v>
      </c>
      <c r="F25" s="78"/>
      <c r="G25" s="78"/>
      <c r="H25" s="78"/>
      <c r="I25" s="78"/>
      <c r="J25" s="78"/>
      <c r="K25" s="78"/>
      <c r="L25" s="78"/>
      <c r="M25" s="78"/>
      <c r="N25" s="81">
        <f>SUM(B25:M25)</f>
        <v>1548.6869999999999</v>
      </c>
      <c r="O25" s="67">
        <f t="shared" si="9"/>
        <v>1548.6869999999999</v>
      </c>
      <c r="P25" s="66">
        <f t="shared" si="9"/>
        <v>0</v>
      </c>
      <c r="Q25" s="79"/>
    </row>
    <row r="26" spans="1:20" ht="33" customHeight="1" x14ac:dyDescent="0.25">
      <c r="A26" s="6" t="s">
        <v>145</v>
      </c>
      <c r="B26" s="66">
        <f t="shared" ref="B26:N26" si="11">B9+B12+B18+B23</f>
        <v>8394.2440000000006</v>
      </c>
      <c r="C26" s="66">
        <f t="shared" si="11"/>
        <v>11809.127</v>
      </c>
      <c r="D26" s="66">
        <f t="shared" si="11"/>
        <v>423.24099999999999</v>
      </c>
      <c r="E26" s="66">
        <f t="shared" si="11"/>
        <v>8806.8269999999993</v>
      </c>
      <c r="F26" s="66">
        <f t="shared" si="11"/>
        <v>11600.599</v>
      </c>
      <c r="G26" s="66">
        <f t="shared" si="11"/>
        <v>523.84100000000001</v>
      </c>
      <c r="H26" s="66">
        <f t="shared" si="11"/>
        <v>7307.741</v>
      </c>
      <c r="I26" s="66">
        <f>I9+I12+I18+I231</f>
        <v>12264.528</v>
      </c>
      <c r="J26" s="66">
        <f t="shared" si="11"/>
        <v>484.24099999999999</v>
      </c>
      <c r="K26" s="66">
        <f t="shared" si="11"/>
        <v>6556.39</v>
      </c>
      <c r="L26" s="66">
        <f t="shared" si="11"/>
        <v>11631.743</v>
      </c>
      <c r="M26" s="66">
        <f t="shared" si="11"/>
        <v>228.67699999999999</v>
      </c>
      <c r="N26" s="66">
        <f t="shared" si="11"/>
        <v>80031.198999999993</v>
      </c>
      <c r="O26" s="66">
        <f>O10+O11+O12+O21+O24+O23</f>
        <v>31065.202000000001</v>
      </c>
      <c r="P26" s="66">
        <f>P10+P11+P12+P21+P23</f>
        <v>47305.997000000003</v>
      </c>
      <c r="Q26" s="66">
        <f>Q10+Q11+Q12+Q21</f>
        <v>1660</v>
      </c>
      <c r="R26" s="10"/>
      <c r="S26" s="11"/>
    </row>
    <row r="27" spans="1:20" ht="36.75" customHeight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2"/>
      <c r="O27" s="11"/>
      <c r="P27" s="11"/>
    </row>
    <row r="28" spans="1:20" ht="31.5" customHeight="1" x14ac:dyDescent="0.25">
      <c r="A28" s="102" t="s">
        <v>158</v>
      </c>
      <c r="B28" s="102"/>
      <c r="C28" s="13" t="s">
        <v>147</v>
      </c>
      <c r="D28" s="13"/>
      <c r="E28" s="14" t="s">
        <v>146</v>
      </c>
    </row>
    <row r="29" spans="1:20" x14ac:dyDescent="0.25">
      <c r="E29" s="15"/>
      <c r="F29" s="15"/>
      <c r="G29" s="15"/>
    </row>
    <row r="30" spans="1:20" x14ac:dyDescent="0.25">
      <c r="B30" s="16"/>
      <c r="H30" s="15"/>
      <c r="K30" s="15"/>
    </row>
    <row r="31" spans="1:20" x14ac:dyDescent="0.25">
      <c r="F31" s="15"/>
      <c r="H31" s="17"/>
      <c r="K31" s="17"/>
    </row>
  </sheetData>
  <mergeCells count="24">
    <mergeCell ref="O5:Q6"/>
    <mergeCell ref="F6:F7"/>
    <mergeCell ref="H6:H7"/>
    <mergeCell ref="I6:I7"/>
    <mergeCell ref="J6:J7"/>
    <mergeCell ref="K6:K7"/>
    <mergeCell ref="L6:L7"/>
    <mergeCell ref="M6:M7"/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</mergeCells>
  <pageMargins left="0.70866141732283472" right="0.70866141732283472" top="0.19685039370078741" bottom="0.1968503937007874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обсяги!Область_друку</vt:lpstr>
      <vt:lpstr>фин.план!Область_друку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User</cp:lastModifiedBy>
  <cp:lastPrinted>2024-10-22T08:28:07Z</cp:lastPrinted>
  <dcterms:created xsi:type="dcterms:W3CDTF">2015-06-05T18:19:34Z</dcterms:created>
  <dcterms:modified xsi:type="dcterms:W3CDTF">2024-10-24T09:27:34Z</dcterms:modified>
</cp:coreProperties>
</file>